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8CC9AF80-3D67-4188-ACCA-7C459BAB1674}" xr6:coauthVersionLast="47" xr6:coauthVersionMax="47" xr10:uidLastSave="{00000000-0000-0000-0000-000000000000}"/>
  <bookViews>
    <workbookView xWindow="-120" yWindow="-120" windowWidth="29040" windowHeight="15840" xr2:uid="{C40BFC56-E1B1-4D01-BA25-9F4A411C4B9C}"/>
  </bookViews>
  <sheets>
    <sheet name="27. Sea Transport" sheetId="8" r:id="rId1"/>
    <sheet name="A- Port of Beirut" sheetId="4" r:id="rId2"/>
    <sheet name="A1. POB Summary (1993-2025)" sheetId="1" r:id="rId3"/>
    <sheet name="A2. POB Vessels (2014-2025)" sheetId="2" r:id="rId4"/>
    <sheet name="A3. POB Freight Mvt.(1993-2025)" sheetId="3" r:id="rId5"/>
    <sheet name="B- Port of Tripoli (2019-2024)" sheetId="7" r:id="rId6"/>
    <sheet name="C. Ports Beirut+Tripoli" sheetId="9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3" i="3" l="1"/>
  <c r="AI12" i="3"/>
  <c r="AI11" i="3"/>
  <c r="AI10" i="3"/>
  <c r="AI9" i="3"/>
  <c r="AI7" i="3"/>
  <c r="AI6" i="3"/>
  <c r="AI5" i="3"/>
  <c r="AH9" i="3"/>
  <c r="AH11" i="3" s="1"/>
  <c r="AH10" i="3"/>
  <c r="AH13" i="3"/>
  <c r="N36" i="2"/>
  <c r="N33" i="2"/>
  <c r="N34" i="2"/>
  <c r="N32" i="2"/>
  <c r="N28" i="2"/>
  <c r="N29" i="2"/>
  <c r="N30" i="2"/>
  <c r="N27" i="2"/>
  <c r="M36" i="2"/>
  <c r="M32" i="2"/>
  <c r="M33" i="2"/>
  <c r="M34" i="2"/>
  <c r="M27" i="2"/>
  <c r="M29" i="2" s="1"/>
  <c r="M28" i="2"/>
  <c r="N24" i="2"/>
  <c r="N23" i="2"/>
  <c r="M23" i="2"/>
  <c r="N22" i="2"/>
  <c r="M22" i="2"/>
  <c r="N21" i="2"/>
  <c r="M21" i="2"/>
  <c r="N20" i="2"/>
  <c r="N19" i="2"/>
  <c r="M20" i="2"/>
  <c r="M17" i="2"/>
  <c r="M16" i="2"/>
  <c r="N16" i="2" s="1"/>
  <c r="M15" i="2"/>
  <c r="N15" i="2" s="1"/>
  <c r="M14" i="2"/>
  <c r="N13" i="2"/>
  <c r="N14" i="2"/>
  <c r="N12" i="2"/>
  <c r="M13" i="2"/>
  <c r="M12" i="2"/>
  <c r="N6" i="2"/>
  <c r="N7" i="2"/>
  <c r="N8" i="2"/>
  <c r="N9" i="2"/>
  <c r="N10" i="2"/>
  <c r="N5" i="2"/>
  <c r="M9" i="2"/>
  <c r="M10" i="2" s="1"/>
  <c r="M8" i="2"/>
  <c r="M7" i="2"/>
  <c r="M6" i="2"/>
  <c r="M24" i="2"/>
  <c r="M5" i="2"/>
  <c r="AH62" i="1"/>
  <c r="AI62" i="1"/>
  <c r="AI60" i="1"/>
  <c r="AI59" i="1"/>
  <c r="AI57" i="1"/>
  <c r="AI55" i="1"/>
  <c r="AI53" i="1"/>
  <c r="AI52" i="1"/>
  <c r="AI51" i="1"/>
  <c r="AI49" i="1"/>
  <c r="AI48" i="1"/>
  <c r="AI46" i="1"/>
  <c r="AI45" i="1"/>
  <c r="AI44" i="1"/>
  <c r="AI42" i="1"/>
  <c r="AI41" i="1"/>
  <c r="AI36" i="1"/>
  <c r="AI34" i="1"/>
  <c r="AI35" i="1"/>
  <c r="AI33" i="1"/>
  <c r="AI30" i="1"/>
  <c r="AI31" i="1"/>
  <c r="AI29" i="1"/>
  <c r="AI28" i="1"/>
  <c r="AI27" i="1"/>
  <c r="AI25" i="1"/>
  <c r="AI24" i="1"/>
  <c r="AI23" i="1"/>
  <c r="AI22" i="1"/>
  <c r="AI21" i="1"/>
  <c r="AI14" i="1"/>
  <c r="AI13" i="1"/>
  <c r="AI12" i="1"/>
  <c r="AI11" i="1"/>
  <c r="AI10" i="1"/>
  <c r="AI9" i="1"/>
  <c r="AI8" i="1"/>
  <c r="AI6" i="1"/>
  <c r="AI7" i="1"/>
  <c r="AI5" i="1"/>
  <c r="AH55" i="1"/>
  <c r="AH57" i="1"/>
  <c r="AH59" i="1"/>
  <c r="AH60" i="1"/>
  <c r="AH51" i="1"/>
  <c r="AH52" i="1"/>
  <c r="AH44" i="1"/>
  <c r="AH45" i="1"/>
  <c r="AH46" i="1"/>
  <c r="AH33" i="1"/>
  <c r="AH34" i="1"/>
  <c r="AH35" i="1"/>
  <c r="AH30" i="1"/>
  <c r="AH15" i="1"/>
  <c r="AH31" i="1" s="1"/>
  <c r="AH7" i="1"/>
  <c r="AH24" i="1" s="1"/>
  <c r="AH6" i="1"/>
  <c r="AH23" i="1" s="1"/>
  <c r="AH5" i="1"/>
  <c r="AH38" i="1" s="1"/>
  <c r="W71" i="9"/>
  <c r="V70" i="9"/>
  <c r="U70" i="9"/>
  <c r="T70" i="9"/>
  <c r="S70" i="9"/>
  <c r="R70" i="9"/>
  <c r="Z67" i="9"/>
  <c r="V66" i="9"/>
  <c r="U66" i="9"/>
  <c r="T66" i="9"/>
  <c r="S66" i="9"/>
  <c r="R66" i="9"/>
  <c r="V64" i="9"/>
  <c r="U64" i="9"/>
  <c r="T64" i="9"/>
  <c r="S64" i="9"/>
  <c r="R64" i="9"/>
  <c r="V62" i="9"/>
  <c r="U62" i="9"/>
  <c r="T62" i="9"/>
  <c r="S62" i="9"/>
  <c r="R62" i="9"/>
  <c r="AB25" i="9"/>
  <c r="AB47" i="9" s="1"/>
  <c r="AA25" i="9"/>
  <c r="AA47" i="9" s="1"/>
  <c r="Z25" i="9"/>
  <c r="Z47" i="9" s="1"/>
  <c r="Y25" i="9"/>
  <c r="Y47" i="9" s="1"/>
  <c r="X25" i="9"/>
  <c r="X47" i="9" s="1"/>
  <c r="W25" i="9"/>
  <c r="W46" i="9" s="1"/>
  <c r="AC24" i="9"/>
  <c r="AC23" i="9"/>
  <c r="AB22" i="9"/>
  <c r="AB44" i="9" s="1"/>
  <c r="AA22" i="9"/>
  <c r="AA43" i="9" s="1"/>
  <c r="Z22" i="9"/>
  <c r="Z43" i="9" s="1"/>
  <c r="Y22" i="9"/>
  <c r="Y43" i="9" s="1"/>
  <c r="X22" i="9"/>
  <c r="X43" i="9" s="1"/>
  <c r="W22" i="9"/>
  <c r="W43" i="9" s="1"/>
  <c r="AC21" i="9"/>
  <c r="AC20" i="9"/>
  <c r="AC14" i="9"/>
  <c r="AC17" i="9"/>
  <c r="AC18" i="9"/>
  <c r="X19" i="9"/>
  <c r="X41" i="9" s="1"/>
  <c r="Y19" i="9"/>
  <c r="Y41" i="9" s="1"/>
  <c r="Z19" i="9"/>
  <c r="Z41" i="9" s="1"/>
  <c r="AA19" i="9"/>
  <c r="AA41" i="9" s="1"/>
  <c r="AB19" i="9"/>
  <c r="W19" i="9"/>
  <c r="W41" i="9" s="1"/>
  <c r="AB16" i="9"/>
  <c r="AB38" i="9" s="1"/>
  <c r="AA16" i="9"/>
  <c r="AA37" i="9" s="1"/>
  <c r="Z16" i="9"/>
  <c r="Z38" i="9" s="1"/>
  <c r="Y16" i="9"/>
  <c r="Y37" i="9" s="1"/>
  <c r="X16" i="9"/>
  <c r="X37" i="9" s="1"/>
  <c r="W16" i="9"/>
  <c r="W38" i="9" s="1"/>
  <c r="AC15" i="9"/>
  <c r="X13" i="9"/>
  <c r="X34" i="9" s="1"/>
  <c r="Y13" i="9"/>
  <c r="Y34" i="9" s="1"/>
  <c r="Z13" i="9"/>
  <c r="Z35" i="9" s="1"/>
  <c r="AA13" i="9"/>
  <c r="AA35" i="9" s="1"/>
  <c r="AB13" i="9"/>
  <c r="AB35" i="9" s="1"/>
  <c r="W13" i="9"/>
  <c r="W35" i="9" s="1"/>
  <c r="AC11" i="9"/>
  <c r="AC12" i="9"/>
  <c r="X10" i="9"/>
  <c r="X32" i="9" s="1"/>
  <c r="Y10" i="9"/>
  <c r="Y31" i="9" s="1"/>
  <c r="Z10" i="9"/>
  <c r="Z32" i="9" s="1"/>
  <c r="AA10" i="9"/>
  <c r="AA32" i="9" s="1"/>
  <c r="AB10" i="9"/>
  <c r="AB32" i="9" s="1"/>
  <c r="W10" i="9"/>
  <c r="W32" i="9" s="1"/>
  <c r="AC8" i="9"/>
  <c r="AC9" i="9"/>
  <c r="AC6" i="9"/>
  <c r="AC5" i="9"/>
  <c r="X7" i="9"/>
  <c r="X28" i="9" s="1"/>
  <c r="Y7" i="9"/>
  <c r="Y29" i="9" s="1"/>
  <c r="Z7" i="9"/>
  <c r="Z29" i="9" s="1"/>
  <c r="AA7" i="9"/>
  <c r="AA29" i="9" s="1"/>
  <c r="AB7" i="9"/>
  <c r="AB29" i="9" s="1"/>
  <c r="W7" i="9"/>
  <c r="W28" i="9" s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C62" i="1"/>
  <c r="AH12" i="3" l="1"/>
  <c r="M30" i="2"/>
  <c r="N17" i="2"/>
  <c r="AH53" i="1"/>
  <c r="AH21" i="1"/>
  <c r="AH28" i="1" s="1"/>
  <c r="AH42" i="1"/>
  <c r="AH29" i="1"/>
  <c r="AH36" i="1"/>
  <c r="AH25" i="1"/>
  <c r="W70" i="9"/>
  <c r="Z70" i="9"/>
  <c r="X71" i="9"/>
  <c r="Y70" i="9"/>
  <c r="X70" i="9"/>
  <c r="AB71" i="9"/>
  <c r="AA71" i="9"/>
  <c r="AB70" i="9"/>
  <c r="AC70" i="9" s="1"/>
  <c r="Z71" i="9"/>
  <c r="AA70" i="9"/>
  <c r="Y71" i="9"/>
  <c r="Z68" i="9"/>
  <c r="Y68" i="9"/>
  <c r="AA67" i="9"/>
  <c r="AB66" i="9"/>
  <c r="X68" i="9"/>
  <c r="AA66" i="9"/>
  <c r="Y67" i="9"/>
  <c r="X67" i="9"/>
  <c r="Y66" i="9"/>
  <c r="W68" i="9"/>
  <c r="AB67" i="9"/>
  <c r="W66" i="9"/>
  <c r="Z66" i="9"/>
  <c r="X66" i="9"/>
  <c r="AB68" i="9"/>
  <c r="W67" i="9"/>
  <c r="AA68" i="9"/>
  <c r="AA63" i="9"/>
  <c r="Y63" i="9"/>
  <c r="W63" i="9"/>
  <c r="AB63" i="9"/>
  <c r="Z63" i="9"/>
  <c r="X63" i="9"/>
  <c r="Z62" i="9"/>
  <c r="Y62" i="9"/>
  <c r="W62" i="9"/>
  <c r="AB62" i="9"/>
  <c r="AA62" i="9"/>
  <c r="X62" i="9"/>
  <c r="X59" i="9"/>
  <c r="Z55" i="9"/>
  <c r="Y58" i="9"/>
  <c r="X55" i="9"/>
  <c r="X58" i="9"/>
  <c r="AA56" i="9"/>
  <c r="X56" i="9"/>
  <c r="W59" i="9"/>
  <c r="AB58" i="9"/>
  <c r="AA59" i="9"/>
  <c r="AB59" i="9"/>
  <c r="AA58" i="9"/>
  <c r="Z59" i="9"/>
  <c r="W58" i="9"/>
  <c r="W55" i="9"/>
  <c r="Z58" i="9"/>
  <c r="Y59" i="9"/>
  <c r="Y55" i="9"/>
  <c r="W56" i="9"/>
  <c r="Z44" i="9"/>
  <c r="AB56" i="9"/>
  <c r="AB55" i="9"/>
  <c r="Z56" i="9"/>
  <c r="AA55" i="9"/>
  <c r="Y56" i="9"/>
  <c r="Y49" i="9"/>
  <c r="X49" i="9"/>
  <c r="W49" i="9"/>
  <c r="AB49" i="9"/>
  <c r="Z49" i="9"/>
  <c r="AA49" i="9"/>
  <c r="Z37" i="9"/>
  <c r="Y46" i="9"/>
  <c r="AA46" i="9"/>
  <c r="Y38" i="9"/>
  <c r="X40" i="9"/>
  <c r="Z46" i="9"/>
  <c r="X46" i="9"/>
  <c r="W44" i="9"/>
  <c r="AC44" i="9" s="1"/>
  <c r="Y40" i="9"/>
  <c r="X44" i="9"/>
  <c r="Y44" i="9"/>
  <c r="W40" i="9"/>
  <c r="AA44" i="9"/>
  <c r="AB43" i="9"/>
  <c r="AC43" i="9" s="1"/>
  <c r="AB46" i="9"/>
  <c r="AC46" i="9" s="1"/>
  <c r="AA40" i="9"/>
  <c r="W47" i="9"/>
  <c r="AC47" i="9" s="1"/>
  <c r="Z40" i="9"/>
  <c r="X38" i="9"/>
  <c r="AB41" i="9"/>
  <c r="AC41" i="9" s="1"/>
  <c r="AB40" i="9"/>
  <c r="AA38" i="9"/>
  <c r="Y35" i="9"/>
  <c r="Z34" i="9"/>
  <c r="AB37" i="9"/>
  <c r="W37" i="9"/>
  <c r="AC35" i="9"/>
  <c r="AC32" i="9"/>
  <c r="Z28" i="9"/>
  <c r="X35" i="9"/>
  <c r="W29" i="9"/>
  <c r="AB34" i="9"/>
  <c r="W34" i="9"/>
  <c r="AA34" i="9"/>
  <c r="AC38" i="9"/>
  <c r="X29" i="9"/>
  <c r="W31" i="9"/>
  <c r="AB31" i="9"/>
  <c r="AB28" i="9"/>
  <c r="AC28" i="9" s="1"/>
  <c r="Y28" i="9"/>
  <c r="X31" i="9"/>
  <c r="AA28" i="9"/>
  <c r="AA31" i="9"/>
  <c r="Z31" i="9"/>
  <c r="Y32" i="9"/>
  <c r="AC19" i="9"/>
  <c r="AC7" i="9"/>
  <c r="AC25" i="9"/>
  <c r="AC22" i="9"/>
  <c r="AC13" i="9"/>
  <c r="AC16" i="9"/>
  <c r="AC10" i="9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Q60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Q59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C57" i="1"/>
  <c r="T55" i="1"/>
  <c r="U55" i="1"/>
  <c r="V55" i="1"/>
  <c r="W55" i="1"/>
  <c r="T53" i="1"/>
  <c r="U53" i="1"/>
  <c r="V53" i="1"/>
  <c r="W53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C52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C51" i="1"/>
  <c r="B83" i="7"/>
  <c r="C83" i="7"/>
  <c r="D83" i="7"/>
  <c r="E83" i="7"/>
  <c r="F83" i="7"/>
  <c r="G83" i="7"/>
  <c r="C80" i="7"/>
  <c r="D80" i="7"/>
  <c r="E80" i="7"/>
  <c r="F80" i="7"/>
  <c r="G80" i="7"/>
  <c r="B80" i="7"/>
  <c r="C77" i="7"/>
  <c r="D77" i="7"/>
  <c r="E77" i="7"/>
  <c r="F77" i="7"/>
  <c r="G77" i="7"/>
  <c r="B77" i="7"/>
  <c r="C76" i="7"/>
  <c r="D76" i="7"/>
  <c r="E76" i="7"/>
  <c r="F76" i="7"/>
  <c r="G76" i="7"/>
  <c r="B76" i="7"/>
  <c r="C75" i="7"/>
  <c r="D75" i="7"/>
  <c r="E75" i="7"/>
  <c r="F75" i="7"/>
  <c r="G75" i="7"/>
  <c r="B75" i="7"/>
  <c r="C73" i="7"/>
  <c r="D73" i="7"/>
  <c r="E73" i="7"/>
  <c r="F73" i="7"/>
  <c r="G73" i="7"/>
  <c r="B73" i="7"/>
  <c r="C72" i="7"/>
  <c r="D72" i="7"/>
  <c r="E72" i="7"/>
  <c r="F72" i="7"/>
  <c r="G72" i="7"/>
  <c r="B72" i="7"/>
  <c r="C71" i="7"/>
  <c r="D71" i="7"/>
  <c r="E71" i="7"/>
  <c r="F71" i="7"/>
  <c r="G71" i="7"/>
  <c r="B71" i="7"/>
  <c r="C70" i="7"/>
  <c r="D70" i="7"/>
  <c r="E70" i="7"/>
  <c r="F70" i="7"/>
  <c r="G70" i="7"/>
  <c r="B70" i="7"/>
  <c r="C67" i="7"/>
  <c r="D67" i="7"/>
  <c r="E67" i="7"/>
  <c r="F67" i="7"/>
  <c r="G67" i="7"/>
  <c r="B67" i="7"/>
  <c r="C66" i="7"/>
  <c r="D66" i="7"/>
  <c r="E66" i="7"/>
  <c r="F66" i="7"/>
  <c r="G66" i="7"/>
  <c r="B66" i="7"/>
  <c r="C61" i="7"/>
  <c r="D61" i="7"/>
  <c r="E61" i="7"/>
  <c r="F61" i="7"/>
  <c r="G61" i="7"/>
  <c r="B61" i="7"/>
  <c r="C58" i="7"/>
  <c r="D58" i="7"/>
  <c r="E58" i="7"/>
  <c r="F58" i="7"/>
  <c r="G58" i="7"/>
  <c r="B58" i="7"/>
  <c r="AI18" i="1"/>
  <c r="H27" i="7"/>
  <c r="H26" i="7"/>
  <c r="H25" i="7"/>
  <c r="V61" i="9"/>
  <c r="U61" i="9"/>
  <c r="T61" i="9"/>
  <c r="S61" i="9"/>
  <c r="R61" i="9"/>
  <c r="V58" i="9"/>
  <c r="U58" i="9"/>
  <c r="T58" i="9"/>
  <c r="S58" i="9"/>
  <c r="R58" i="9"/>
  <c r="Q58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C58" i="9"/>
  <c r="B58" i="9"/>
  <c r="V32" i="9"/>
  <c r="U32" i="9"/>
  <c r="T32" i="9"/>
  <c r="C49" i="7"/>
  <c r="D49" i="7"/>
  <c r="E49" i="7"/>
  <c r="F49" i="7"/>
  <c r="G49" i="7"/>
  <c r="B49" i="7"/>
  <c r="C42" i="7"/>
  <c r="D42" i="7"/>
  <c r="E42" i="7"/>
  <c r="F42" i="7"/>
  <c r="G42" i="7"/>
  <c r="B42" i="7"/>
  <c r="C14" i="7"/>
  <c r="D14" i="7"/>
  <c r="D37" i="7" s="1"/>
  <c r="E14" i="7"/>
  <c r="E37" i="7" s="1"/>
  <c r="F14" i="7"/>
  <c r="G14" i="7"/>
  <c r="G37" i="7" s="1"/>
  <c r="B14" i="7"/>
  <c r="B37" i="7" s="1"/>
  <c r="C35" i="7"/>
  <c r="D35" i="7"/>
  <c r="E35" i="7"/>
  <c r="B35" i="7"/>
  <c r="C31" i="7"/>
  <c r="D31" i="7"/>
  <c r="E31" i="7"/>
  <c r="F31" i="7"/>
  <c r="G31" i="7"/>
  <c r="B31" i="7"/>
  <c r="G18" i="7"/>
  <c r="H18" i="7" s="1"/>
  <c r="G10" i="7"/>
  <c r="H10" i="7" s="1"/>
  <c r="G9" i="7"/>
  <c r="F10" i="7"/>
  <c r="F9" i="7"/>
  <c r="C20" i="7"/>
  <c r="D20" i="7"/>
  <c r="D62" i="7" s="1"/>
  <c r="E20" i="7"/>
  <c r="E62" i="7" s="1"/>
  <c r="F20" i="7"/>
  <c r="F62" i="7" s="1"/>
  <c r="B20" i="7"/>
  <c r="B62" i="7" s="1"/>
  <c r="C17" i="7"/>
  <c r="D17" i="7"/>
  <c r="E17" i="7"/>
  <c r="F17" i="7"/>
  <c r="G17" i="7"/>
  <c r="B17" i="7"/>
  <c r="C11" i="7"/>
  <c r="C44" i="7" s="1"/>
  <c r="D11" i="7"/>
  <c r="D44" i="7" s="1"/>
  <c r="E11" i="7"/>
  <c r="E44" i="7" s="1"/>
  <c r="B11" i="7"/>
  <c r="B44" i="7" s="1"/>
  <c r="C7" i="7"/>
  <c r="C30" i="7" s="1"/>
  <c r="C60" i="7" s="1"/>
  <c r="D7" i="7"/>
  <c r="D30" i="7" s="1"/>
  <c r="D60" i="7" s="1"/>
  <c r="E7" i="7"/>
  <c r="E32" i="7" s="1"/>
  <c r="F7" i="7"/>
  <c r="F32" i="7" s="1"/>
  <c r="G7" i="7"/>
  <c r="G32" i="7" s="1"/>
  <c r="B7" i="7"/>
  <c r="B32" i="7" s="1"/>
  <c r="H4" i="7"/>
  <c r="H5" i="7"/>
  <c r="H6" i="7"/>
  <c r="H8" i="7"/>
  <c r="H12" i="7"/>
  <c r="H13" i="7"/>
  <c r="H15" i="7"/>
  <c r="H16" i="7"/>
  <c r="H19" i="7"/>
  <c r="H21" i="7"/>
  <c r="H22" i="7"/>
  <c r="H23" i="7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R46" i="1"/>
  <c r="C44" i="1"/>
  <c r="C45" i="1" s="1"/>
  <c r="D44" i="1"/>
  <c r="D45" i="1" s="1"/>
  <c r="E44" i="1"/>
  <c r="E45" i="1" s="1"/>
  <c r="F44" i="1"/>
  <c r="F45" i="1" s="1"/>
  <c r="G44" i="1"/>
  <c r="G45" i="1" s="1"/>
  <c r="H44" i="1"/>
  <c r="H45" i="1" s="1"/>
  <c r="I44" i="1"/>
  <c r="I45" i="1" s="1"/>
  <c r="J44" i="1"/>
  <c r="J45" i="1" s="1"/>
  <c r="K44" i="1"/>
  <c r="K45" i="1" s="1"/>
  <c r="L44" i="1"/>
  <c r="L45" i="1" s="1"/>
  <c r="M44" i="1"/>
  <c r="M45" i="1" s="1"/>
  <c r="N44" i="1"/>
  <c r="N45" i="1" s="1"/>
  <c r="O44" i="1"/>
  <c r="O45" i="1" s="1"/>
  <c r="P44" i="1"/>
  <c r="P45" i="1" s="1"/>
  <c r="Q44" i="1"/>
  <c r="Q45" i="1" s="1"/>
  <c r="R44" i="1"/>
  <c r="R45" i="1" s="1"/>
  <c r="S44" i="1"/>
  <c r="S45" i="1" s="1"/>
  <c r="T44" i="1"/>
  <c r="T45" i="1" s="1"/>
  <c r="U44" i="1"/>
  <c r="U45" i="1" s="1"/>
  <c r="V44" i="1"/>
  <c r="V45" i="1" s="1"/>
  <c r="W44" i="1"/>
  <c r="W45" i="1" s="1"/>
  <c r="X44" i="1"/>
  <c r="X45" i="1" s="1"/>
  <c r="Y44" i="1"/>
  <c r="Y45" i="1" s="1"/>
  <c r="Z44" i="1"/>
  <c r="Z45" i="1" s="1"/>
  <c r="AA44" i="1"/>
  <c r="AA45" i="1" s="1"/>
  <c r="AB44" i="1"/>
  <c r="AB45" i="1" s="1"/>
  <c r="AC44" i="1"/>
  <c r="AC45" i="1" s="1"/>
  <c r="AD44" i="1"/>
  <c r="AD45" i="1" s="1"/>
  <c r="AE44" i="1"/>
  <c r="AE45" i="1" s="1"/>
  <c r="AF44" i="1"/>
  <c r="AF45" i="1" s="1"/>
  <c r="AG44" i="1"/>
  <c r="B44" i="1"/>
  <c r="W42" i="1"/>
  <c r="X38" i="1"/>
  <c r="Y38" i="1"/>
  <c r="Z38" i="1"/>
  <c r="AA38" i="1"/>
  <c r="AB38" i="1"/>
  <c r="AC38" i="1"/>
  <c r="AD38" i="1"/>
  <c r="AE38" i="1"/>
  <c r="AF38" i="1"/>
  <c r="AG38" i="1"/>
  <c r="W38" i="1"/>
  <c r="T36" i="1"/>
  <c r="U36" i="1"/>
  <c r="V36" i="1"/>
  <c r="W36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B35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B34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B33" i="1"/>
  <c r="W31" i="1"/>
  <c r="W25" i="1"/>
  <c r="X24" i="1"/>
  <c r="Y24" i="1"/>
  <c r="Z24" i="1"/>
  <c r="AA24" i="1"/>
  <c r="AB24" i="1"/>
  <c r="AC24" i="1"/>
  <c r="AD24" i="1"/>
  <c r="AE24" i="1"/>
  <c r="AF24" i="1"/>
  <c r="AG24" i="1"/>
  <c r="W24" i="1"/>
  <c r="X23" i="1"/>
  <c r="Y23" i="1"/>
  <c r="Z23" i="1"/>
  <c r="AA23" i="1"/>
  <c r="AB23" i="1"/>
  <c r="AC23" i="1"/>
  <c r="AD23" i="1"/>
  <c r="AE23" i="1"/>
  <c r="AF23" i="1"/>
  <c r="AG23" i="1"/>
  <c r="W23" i="1"/>
  <c r="AH27" i="1" l="1"/>
  <c r="AH22" i="1"/>
  <c r="AH48" i="1"/>
  <c r="AH49" i="1" s="1"/>
  <c r="AH39" i="1"/>
  <c r="AH41" i="1"/>
  <c r="AA64" i="9"/>
  <c r="AA74" i="9"/>
  <c r="AA73" i="9"/>
  <c r="Z74" i="9"/>
  <c r="Z73" i="9"/>
  <c r="AB64" i="9"/>
  <c r="AB74" i="9"/>
  <c r="AC74" i="9" s="1"/>
  <c r="AB73" i="9"/>
  <c r="AC73" i="9" s="1"/>
  <c r="W73" i="9"/>
  <c r="W74" i="9"/>
  <c r="X64" i="9"/>
  <c r="X74" i="9"/>
  <c r="X73" i="9"/>
  <c r="Y74" i="9"/>
  <c r="Y73" i="9"/>
  <c r="AC67" i="9"/>
  <c r="AC68" i="9"/>
  <c r="AC29" i="9"/>
  <c r="AC71" i="9"/>
  <c r="Z61" i="9"/>
  <c r="Z64" i="9"/>
  <c r="W61" i="9"/>
  <c r="W64" i="9"/>
  <c r="AC64" i="9" s="1"/>
  <c r="Y61" i="9"/>
  <c r="Y64" i="9"/>
  <c r="AC63" i="9"/>
  <c r="AC55" i="9"/>
  <c r="AA54" i="9"/>
  <c r="AA61" i="9"/>
  <c r="AB54" i="9"/>
  <c r="AB61" i="9"/>
  <c r="AC56" i="9"/>
  <c r="X52" i="9"/>
  <c r="X61" i="9"/>
  <c r="AB52" i="9"/>
  <c r="AC58" i="9"/>
  <c r="AC59" i="9"/>
  <c r="Z54" i="9"/>
  <c r="Z52" i="9"/>
  <c r="X51" i="9"/>
  <c r="X54" i="9"/>
  <c r="W52" i="9"/>
  <c r="W54" i="9"/>
  <c r="Y51" i="9"/>
  <c r="Y54" i="9"/>
  <c r="Y50" i="9"/>
  <c r="AA52" i="9"/>
  <c r="Y52" i="9"/>
  <c r="AA50" i="9"/>
  <c r="AA51" i="9"/>
  <c r="X50" i="9"/>
  <c r="Z50" i="9"/>
  <c r="Z51" i="9"/>
  <c r="AB50" i="9"/>
  <c r="AC49" i="9"/>
  <c r="W50" i="9"/>
  <c r="W51" i="9"/>
  <c r="AB51" i="9"/>
  <c r="AC40" i="9"/>
  <c r="AC31" i="9"/>
  <c r="AC37" i="9"/>
  <c r="AC34" i="9"/>
  <c r="H83" i="7"/>
  <c r="B79" i="7"/>
  <c r="D81" i="7"/>
  <c r="E81" i="7"/>
  <c r="G79" i="7"/>
  <c r="H79" i="7" s="1"/>
  <c r="C81" i="7"/>
  <c r="F79" i="7"/>
  <c r="E79" i="7"/>
  <c r="D79" i="7"/>
  <c r="B81" i="7"/>
  <c r="C79" i="7"/>
  <c r="E63" i="7"/>
  <c r="H70" i="7"/>
  <c r="D65" i="7"/>
  <c r="B63" i="7"/>
  <c r="C65" i="7"/>
  <c r="H67" i="7"/>
  <c r="B55" i="7"/>
  <c r="G63" i="7"/>
  <c r="B65" i="7"/>
  <c r="G65" i="7"/>
  <c r="D57" i="7"/>
  <c r="F65" i="7"/>
  <c r="E65" i="7"/>
  <c r="C62" i="7"/>
  <c r="C55" i="7"/>
  <c r="E57" i="7"/>
  <c r="F63" i="7"/>
  <c r="D63" i="7"/>
  <c r="H58" i="7"/>
  <c r="C63" i="7"/>
  <c r="B57" i="7"/>
  <c r="G55" i="7"/>
  <c r="F55" i="7"/>
  <c r="E55" i="7"/>
  <c r="C57" i="7"/>
  <c r="D55" i="7"/>
  <c r="AI17" i="1"/>
  <c r="G53" i="7"/>
  <c r="E50" i="7"/>
  <c r="F53" i="7"/>
  <c r="B39" i="7"/>
  <c r="C52" i="7"/>
  <c r="G47" i="7"/>
  <c r="D50" i="7"/>
  <c r="G35" i="7"/>
  <c r="B53" i="7"/>
  <c r="H53" i="7" s="1"/>
  <c r="B47" i="7"/>
  <c r="F47" i="7"/>
  <c r="F39" i="7"/>
  <c r="F68" i="7" s="1"/>
  <c r="H42" i="7"/>
  <c r="C50" i="7"/>
  <c r="F11" i="7"/>
  <c r="G52" i="7"/>
  <c r="C47" i="7"/>
  <c r="H14" i="7"/>
  <c r="G45" i="7"/>
  <c r="B45" i="7"/>
  <c r="F52" i="7"/>
  <c r="B52" i="7"/>
  <c r="E53" i="7"/>
  <c r="B50" i="7"/>
  <c r="D53" i="7"/>
  <c r="D47" i="7"/>
  <c r="D52" i="7"/>
  <c r="C45" i="7"/>
  <c r="H17" i="7"/>
  <c r="F35" i="7"/>
  <c r="E47" i="7"/>
  <c r="E52" i="7"/>
  <c r="C53" i="7"/>
  <c r="C39" i="7"/>
  <c r="C37" i="7"/>
  <c r="F37" i="7"/>
  <c r="E39" i="7"/>
  <c r="E45" i="7"/>
  <c r="D39" i="7"/>
  <c r="D45" i="7"/>
  <c r="F45" i="7"/>
  <c r="H49" i="7"/>
  <c r="C32" i="7"/>
  <c r="B30" i="7"/>
  <c r="H31" i="7"/>
  <c r="B34" i="7"/>
  <c r="H32" i="7"/>
  <c r="H37" i="7"/>
  <c r="E34" i="7"/>
  <c r="D34" i="7"/>
  <c r="C34" i="7"/>
  <c r="D32" i="7"/>
  <c r="G30" i="7"/>
  <c r="F30" i="7"/>
  <c r="E30" i="7"/>
  <c r="G11" i="7"/>
  <c r="G20" i="7"/>
  <c r="H9" i="7"/>
  <c r="H7" i="7"/>
  <c r="AG45" i="1"/>
  <c r="AI38" i="1"/>
  <c r="X21" i="1"/>
  <c r="Y21" i="1"/>
  <c r="Z21" i="1"/>
  <c r="AA21" i="1"/>
  <c r="AB21" i="1"/>
  <c r="AC21" i="1"/>
  <c r="AD21" i="1"/>
  <c r="AE21" i="1"/>
  <c r="AF21" i="1"/>
  <c r="AG21" i="1"/>
  <c r="W21" i="1"/>
  <c r="L13" i="3"/>
  <c r="N13" i="3"/>
  <c r="T13" i="3"/>
  <c r="E12" i="3"/>
  <c r="F12" i="3"/>
  <c r="H12" i="3"/>
  <c r="AB12" i="3"/>
  <c r="AC12" i="3"/>
  <c r="AD12" i="3"/>
  <c r="C9" i="3"/>
  <c r="C11" i="3" s="1"/>
  <c r="D9" i="3"/>
  <c r="D13" i="3" s="1"/>
  <c r="E9" i="3"/>
  <c r="E13" i="3" s="1"/>
  <c r="F9" i="3"/>
  <c r="F11" i="3" s="1"/>
  <c r="G9" i="3"/>
  <c r="G11" i="3" s="1"/>
  <c r="H9" i="3"/>
  <c r="H11" i="3" s="1"/>
  <c r="I9" i="3"/>
  <c r="I11" i="3" s="1"/>
  <c r="J9" i="3"/>
  <c r="J11" i="3" s="1"/>
  <c r="K9" i="3"/>
  <c r="K11" i="3" s="1"/>
  <c r="L9" i="3"/>
  <c r="L11" i="3" s="1"/>
  <c r="M9" i="3"/>
  <c r="M11" i="3" s="1"/>
  <c r="N9" i="3"/>
  <c r="N11" i="3" s="1"/>
  <c r="O9" i="3"/>
  <c r="O12" i="3" s="1"/>
  <c r="P9" i="3"/>
  <c r="P11" i="3" s="1"/>
  <c r="Q9" i="3"/>
  <c r="Q11" i="3" s="1"/>
  <c r="R9" i="3"/>
  <c r="R13" i="3" s="1"/>
  <c r="S9" i="3"/>
  <c r="S11" i="3" s="1"/>
  <c r="T9" i="3"/>
  <c r="T11" i="3" s="1"/>
  <c r="U9" i="3"/>
  <c r="U11" i="3" s="1"/>
  <c r="V9" i="3"/>
  <c r="V11" i="3" s="1"/>
  <c r="W9" i="3"/>
  <c r="W11" i="3" s="1"/>
  <c r="X9" i="3"/>
  <c r="X13" i="3" s="1"/>
  <c r="Y9" i="3"/>
  <c r="Y11" i="3" s="1"/>
  <c r="Z9" i="3"/>
  <c r="Z11" i="3" s="1"/>
  <c r="AA9" i="3"/>
  <c r="AA11" i="3" s="1"/>
  <c r="AB9" i="3"/>
  <c r="AB11" i="3" s="1"/>
  <c r="AC9" i="3"/>
  <c r="AC13" i="3" s="1"/>
  <c r="AD9" i="3"/>
  <c r="AD11" i="3" s="1"/>
  <c r="AE9" i="3"/>
  <c r="AE12" i="3" s="1"/>
  <c r="AF9" i="3"/>
  <c r="AF11" i="3" s="1"/>
  <c r="AG9" i="3"/>
  <c r="AG11" i="3" s="1"/>
  <c r="B9" i="3"/>
  <c r="B12" i="3" s="1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B10" i="3"/>
  <c r="L24" i="2"/>
  <c r="K24" i="2"/>
  <c r="J24" i="2"/>
  <c r="I24" i="2"/>
  <c r="G24" i="2"/>
  <c r="F24" i="2"/>
  <c r="E24" i="2"/>
  <c r="D24" i="2"/>
  <c r="C24" i="2"/>
  <c r="B24" i="2"/>
  <c r="S12" i="3" l="1"/>
  <c r="C12" i="3"/>
  <c r="AA12" i="3"/>
  <c r="AA13" i="3"/>
  <c r="U12" i="3"/>
  <c r="T12" i="3"/>
  <c r="S13" i="3"/>
  <c r="R11" i="3"/>
  <c r="K13" i="3"/>
  <c r="AC61" i="9"/>
  <c r="AC52" i="9"/>
  <c r="AC62" i="9"/>
  <c r="AC54" i="9"/>
  <c r="AC50" i="9"/>
  <c r="AC51" i="9"/>
  <c r="F81" i="7"/>
  <c r="G57" i="7"/>
  <c r="H57" i="7" s="1"/>
  <c r="G81" i="7"/>
  <c r="H81" i="7" s="1"/>
  <c r="H80" i="7"/>
  <c r="H55" i="7"/>
  <c r="H75" i="7"/>
  <c r="H76" i="7"/>
  <c r="H77" i="7"/>
  <c r="D56" i="7"/>
  <c r="D68" i="7"/>
  <c r="E56" i="7"/>
  <c r="E68" i="7"/>
  <c r="B60" i="7"/>
  <c r="B68" i="7"/>
  <c r="C56" i="7"/>
  <c r="C68" i="7"/>
  <c r="G62" i="7"/>
  <c r="H62" i="7" s="1"/>
  <c r="H66" i="7"/>
  <c r="H35" i="7"/>
  <c r="H65" i="7"/>
  <c r="H63" i="7"/>
  <c r="F44" i="7"/>
  <c r="F57" i="7"/>
  <c r="E60" i="7"/>
  <c r="F60" i="7"/>
  <c r="B48" i="7"/>
  <c r="B56" i="7"/>
  <c r="G60" i="7"/>
  <c r="F41" i="7"/>
  <c r="F56" i="7"/>
  <c r="H73" i="7"/>
  <c r="H72" i="7"/>
  <c r="B41" i="7"/>
  <c r="B40" i="7"/>
  <c r="H52" i="7"/>
  <c r="H47" i="7"/>
  <c r="F34" i="7"/>
  <c r="F50" i="7"/>
  <c r="F40" i="7"/>
  <c r="F48" i="7"/>
  <c r="H45" i="7"/>
  <c r="G44" i="7"/>
  <c r="G50" i="7"/>
  <c r="H50" i="7" s="1"/>
  <c r="E41" i="7"/>
  <c r="E48" i="7"/>
  <c r="C41" i="7"/>
  <c r="C48" i="7"/>
  <c r="D41" i="7"/>
  <c r="D48" i="7"/>
  <c r="H20" i="7"/>
  <c r="G39" i="7"/>
  <c r="G68" i="7" s="1"/>
  <c r="C40" i="7"/>
  <c r="D40" i="7"/>
  <c r="E40" i="7"/>
  <c r="G34" i="7"/>
  <c r="H34" i="7" s="1"/>
  <c r="H30" i="7"/>
  <c r="H11" i="7"/>
  <c r="W48" i="1"/>
  <c r="W49" i="1" s="1"/>
  <c r="AG48" i="1"/>
  <c r="AG49" i="1" s="1"/>
  <c r="AD41" i="1"/>
  <c r="AD48" i="1"/>
  <c r="AD49" i="1" s="1"/>
  <c r="AC41" i="1"/>
  <c r="AC48" i="1"/>
  <c r="AC49" i="1" s="1"/>
  <c r="AB41" i="1"/>
  <c r="AB48" i="1"/>
  <c r="AB49" i="1" s="1"/>
  <c r="AA41" i="1"/>
  <c r="AA48" i="1"/>
  <c r="AA49" i="1" s="1"/>
  <c r="Z41" i="1"/>
  <c r="Z48" i="1"/>
  <c r="Z49" i="1" s="1"/>
  <c r="Y41" i="1"/>
  <c r="Y48" i="1"/>
  <c r="Y49" i="1" s="1"/>
  <c r="AF41" i="1"/>
  <c r="AF48" i="1"/>
  <c r="AF49" i="1" s="1"/>
  <c r="X41" i="1"/>
  <c r="X48" i="1"/>
  <c r="X49" i="1" s="1"/>
  <c r="AE41" i="1"/>
  <c r="AE48" i="1"/>
  <c r="AE49" i="1" s="1"/>
  <c r="W39" i="1"/>
  <c r="W41" i="1"/>
  <c r="AG39" i="1"/>
  <c r="AG41" i="1"/>
  <c r="AA22" i="1"/>
  <c r="AA39" i="1"/>
  <c r="Z22" i="1"/>
  <c r="Z39" i="1"/>
  <c r="Y22" i="1"/>
  <c r="Y39" i="1"/>
  <c r="AF22" i="1"/>
  <c r="AF39" i="1"/>
  <c r="X22" i="1"/>
  <c r="X39" i="1"/>
  <c r="AE22" i="1"/>
  <c r="AE39" i="1"/>
  <c r="AD22" i="1"/>
  <c r="AD39" i="1"/>
  <c r="AC22" i="1"/>
  <c r="AC39" i="1"/>
  <c r="AB22" i="1"/>
  <c r="AB39" i="1"/>
  <c r="W22" i="1"/>
  <c r="W28" i="1"/>
  <c r="AG22" i="1"/>
  <c r="W27" i="1"/>
  <c r="AF12" i="3"/>
  <c r="Y13" i="3"/>
  <c r="W13" i="3"/>
  <c r="P12" i="3"/>
  <c r="V13" i="3"/>
  <c r="I13" i="3"/>
  <c r="N12" i="3"/>
  <c r="AG13" i="3"/>
  <c r="G13" i="3"/>
  <c r="M12" i="3"/>
  <c r="AE13" i="3"/>
  <c r="F13" i="3"/>
  <c r="X12" i="3"/>
  <c r="L12" i="3"/>
  <c r="AD13" i="3"/>
  <c r="Q13" i="3"/>
  <c r="C13" i="3"/>
  <c r="V12" i="3"/>
  <c r="K12" i="3"/>
  <c r="AB13" i="3"/>
  <c r="O13" i="3"/>
  <c r="X11" i="3"/>
  <c r="AE11" i="3"/>
  <c r="O11" i="3"/>
  <c r="AC11" i="3"/>
  <c r="E11" i="3"/>
  <c r="D11" i="3"/>
  <c r="Z12" i="3"/>
  <c r="R12" i="3"/>
  <c r="J12" i="3"/>
  <c r="AG12" i="3"/>
  <c r="Y12" i="3"/>
  <c r="Q12" i="3"/>
  <c r="I12" i="3"/>
  <c r="B13" i="3"/>
  <c r="Z13" i="3"/>
  <c r="J13" i="3"/>
  <c r="W12" i="3"/>
  <c r="G12" i="3"/>
  <c r="AF13" i="3"/>
  <c r="P13" i="3"/>
  <c r="H13" i="3"/>
  <c r="D12" i="3"/>
  <c r="U13" i="3"/>
  <c r="M13" i="3"/>
  <c r="C10" i="2"/>
  <c r="C34" i="2" s="1"/>
  <c r="D10" i="2"/>
  <c r="D34" i="2" s="1"/>
  <c r="E10" i="2"/>
  <c r="E34" i="2" s="1"/>
  <c r="F10" i="2"/>
  <c r="F34" i="2" s="1"/>
  <c r="G10" i="2"/>
  <c r="G34" i="2" s="1"/>
  <c r="H10" i="2"/>
  <c r="H34" i="2" s="1"/>
  <c r="I10" i="2"/>
  <c r="I34" i="2" s="1"/>
  <c r="J10" i="2"/>
  <c r="J34" i="2" s="1"/>
  <c r="K10" i="2"/>
  <c r="K34" i="2" s="1"/>
  <c r="L10" i="2"/>
  <c r="L34" i="2" s="1"/>
  <c r="C17" i="2"/>
  <c r="C28" i="2" s="1"/>
  <c r="D17" i="2"/>
  <c r="D28" i="2" s="1"/>
  <c r="E17" i="2"/>
  <c r="F17" i="2"/>
  <c r="G17" i="2"/>
  <c r="G36" i="2" s="1"/>
  <c r="H17" i="2"/>
  <c r="H36" i="2" s="1"/>
  <c r="I17" i="2"/>
  <c r="I36" i="2" s="1"/>
  <c r="J17" i="2"/>
  <c r="J36" i="2" s="1"/>
  <c r="K17" i="2"/>
  <c r="L17" i="2"/>
  <c r="B17" i="2"/>
  <c r="B10" i="2"/>
  <c r="B34" i="2" s="1"/>
  <c r="S30" i="1"/>
  <c r="R30" i="1"/>
  <c r="U14" i="1"/>
  <c r="V14" i="1"/>
  <c r="W14" i="1"/>
  <c r="T14" i="1"/>
  <c r="R15" i="1"/>
  <c r="S15" i="1"/>
  <c r="AA15" i="1"/>
  <c r="AB15" i="1"/>
  <c r="AC15" i="1"/>
  <c r="AD15" i="1"/>
  <c r="AE15" i="1"/>
  <c r="AF15" i="1"/>
  <c r="AG15" i="1"/>
  <c r="Y15" i="1"/>
  <c r="Z15" i="1"/>
  <c r="X15" i="1"/>
  <c r="AG30" i="1"/>
  <c r="AF30" i="1"/>
  <c r="AE30" i="1"/>
  <c r="AD30" i="1"/>
  <c r="AC30" i="1"/>
  <c r="AB30" i="1"/>
  <c r="AA30" i="1"/>
  <c r="Z30" i="1"/>
  <c r="Y30" i="1"/>
  <c r="X30" i="1"/>
  <c r="AC66" i="9" l="1"/>
  <c r="AC53" i="1"/>
  <c r="AC55" i="1"/>
  <c r="X53" i="1"/>
  <c r="X55" i="1"/>
  <c r="AB53" i="1"/>
  <c r="AB55" i="1"/>
  <c r="Z53" i="1"/>
  <c r="Z55" i="1"/>
  <c r="AA53" i="1"/>
  <c r="AA55" i="1"/>
  <c r="AE53" i="1"/>
  <c r="AE55" i="1"/>
  <c r="AD53" i="1"/>
  <c r="AD55" i="1"/>
  <c r="Y53" i="1"/>
  <c r="Y55" i="1"/>
  <c r="S53" i="1"/>
  <c r="S55" i="1"/>
  <c r="AG53" i="1"/>
  <c r="AG55" i="1"/>
  <c r="R53" i="1"/>
  <c r="R55" i="1"/>
  <c r="AF53" i="1"/>
  <c r="AF55" i="1"/>
  <c r="U30" i="1"/>
  <c r="T30" i="1"/>
  <c r="V30" i="1"/>
  <c r="H60" i="7"/>
  <c r="H68" i="7"/>
  <c r="H44" i="7"/>
  <c r="H61" i="7"/>
  <c r="G48" i="7"/>
  <c r="H48" i="7" s="1"/>
  <c r="G56" i="7"/>
  <c r="H56" i="7" s="1"/>
  <c r="G41" i="7"/>
  <c r="H39" i="7"/>
  <c r="G40" i="7"/>
  <c r="H40" i="7" s="1"/>
  <c r="F28" i="2"/>
  <c r="F36" i="2"/>
  <c r="E28" i="2"/>
  <c r="E36" i="2"/>
  <c r="L28" i="2"/>
  <c r="L36" i="2"/>
  <c r="K28" i="2"/>
  <c r="K36" i="2"/>
  <c r="B28" i="2"/>
  <c r="B36" i="2"/>
  <c r="I33" i="2"/>
  <c r="I27" i="2"/>
  <c r="K33" i="2"/>
  <c r="K27" i="2"/>
  <c r="C33" i="2"/>
  <c r="C27" i="2"/>
  <c r="H33" i="2"/>
  <c r="H27" i="2"/>
  <c r="H28" i="2"/>
  <c r="H29" i="2"/>
  <c r="G27" i="2"/>
  <c r="G29" i="2" s="1"/>
  <c r="G33" i="2"/>
  <c r="G28" i="2"/>
  <c r="J33" i="2"/>
  <c r="J27" i="2"/>
  <c r="J29" i="2" s="1"/>
  <c r="I28" i="2"/>
  <c r="F33" i="2"/>
  <c r="F27" i="2"/>
  <c r="F29" i="2" s="1"/>
  <c r="B27" i="2"/>
  <c r="B29" i="2" s="1"/>
  <c r="B33" i="2"/>
  <c r="E33" i="2"/>
  <c r="E27" i="2"/>
  <c r="E29" i="2" s="1"/>
  <c r="J28" i="2"/>
  <c r="L33" i="2"/>
  <c r="L27" i="2"/>
  <c r="D27" i="2"/>
  <c r="D29" i="2" s="1"/>
  <c r="D33" i="2"/>
  <c r="AI39" i="1"/>
  <c r="AG36" i="1"/>
  <c r="AG42" i="1"/>
  <c r="X36" i="1"/>
  <c r="X42" i="1"/>
  <c r="AB36" i="1"/>
  <c r="AB42" i="1"/>
  <c r="Z36" i="1"/>
  <c r="Z42" i="1"/>
  <c r="AA36" i="1"/>
  <c r="AA42" i="1"/>
  <c r="Y36" i="1"/>
  <c r="Y42" i="1"/>
  <c r="AF36" i="1"/>
  <c r="AF42" i="1"/>
  <c r="AE36" i="1"/>
  <c r="AE42" i="1"/>
  <c r="AD36" i="1"/>
  <c r="AD42" i="1"/>
  <c r="AC36" i="1"/>
  <c r="AC42" i="1"/>
  <c r="R36" i="1"/>
  <c r="S36" i="1"/>
  <c r="AE31" i="1"/>
  <c r="AE29" i="1"/>
  <c r="AE28" i="1"/>
  <c r="W30" i="1"/>
  <c r="W29" i="1"/>
  <c r="AD31" i="1"/>
  <c r="AD29" i="1"/>
  <c r="AD28" i="1"/>
  <c r="AC29" i="1"/>
  <c r="AC28" i="1"/>
  <c r="AC31" i="1"/>
  <c r="X28" i="1"/>
  <c r="X31" i="1"/>
  <c r="X29" i="1"/>
  <c r="AB29" i="1"/>
  <c r="AB28" i="1"/>
  <c r="AB31" i="1"/>
  <c r="Z28" i="1"/>
  <c r="Z31" i="1"/>
  <c r="Z29" i="1"/>
  <c r="AA29" i="1"/>
  <c r="AA28" i="1"/>
  <c r="AA31" i="1"/>
  <c r="Y28" i="1"/>
  <c r="Y31" i="1"/>
  <c r="Y29" i="1"/>
  <c r="AG28" i="1"/>
  <c r="AG31" i="1"/>
  <c r="AI15" i="1"/>
  <c r="AG29" i="1"/>
  <c r="AF28" i="1"/>
  <c r="AF31" i="1"/>
  <c r="AF29" i="1"/>
  <c r="Z25" i="1"/>
  <c r="AA25" i="1"/>
  <c r="AG25" i="1"/>
  <c r="AF25" i="1"/>
  <c r="AE25" i="1"/>
  <c r="AD25" i="1"/>
  <c r="AC25" i="1"/>
  <c r="X25" i="1"/>
  <c r="AB25" i="1"/>
  <c r="Y25" i="1"/>
  <c r="X27" i="1" l="1"/>
  <c r="AC27" i="1"/>
  <c r="AD27" i="1"/>
  <c r="AE27" i="1"/>
  <c r="AF27" i="1"/>
  <c r="Y27" i="1"/>
  <c r="AA27" i="1"/>
  <c r="AB27" i="1"/>
  <c r="Z27" i="1"/>
  <c r="H41" i="7"/>
  <c r="H71" i="7"/>
  <c r="K32" i="2"/>
  <c r="K30" i="2"/>
  <c r="D32" i="2"/>
  <c r="D30" i="2"/>
  <c r="J32" i="2"/>
  <c r="J30" i="2"/>
  <c r="H32" i="2"/>
  <c r="H30" i="2"/>
  <c r="K29" i="2"/>
  <c r="G32" i="2"/>
  <c r="G30" i="2"/>
  <c r="C32" i="2"/>
  <c r="C30" i="2"/>
  <c r="E32" i="2"/>
  <c r="E30" i="2"/>
  <c r="L32" i="2"/>
  <c r="L30" i="2"/>
  <c r="I32" i="2"/>
  <c r="I30" i="2"/>
  <c r="L29" i="2"/>
  <c r="B32" i="2"/>
  <c r="B30" i="2"/>
  <c r="F32" i="2"/>
  <c r="F30" i="2"/>
  <c r="C29" i="2"/>
  <c r="I29" i="2"/>
  <c r="AG27" i="1"/>
</calcChain>
</file>

<file path=xl/sharedStrings.xml><?xml version="1.0" encoding="utf-8"?>
<sst xmlns="http://schemas.openxmlformats.org/spreadsheetml/2006/main" count="280" uniqueCount="252">
  <si>
    <t>Year</t>
  </si>
  <si>
    <t>Passengers. Count</t>
  </si>
  <si>
    <t>TEU Local (In/Out/Full/Empty). TEU</t>
  </si>
  <si>
    <t>TEU Transshipment (In/Out/Full/Empty). TEU</t>
  </si>
  <si>
    <t>Total TEU (In/Out/Full/Empty: Local + Transshipment). TEU</t>
  </si>
  <si>
    <t>Port of Beirut Movment. Indicators</t>
  </si>
  <si>
    <t>Ratio TEU Local / Transhipment</t>
  </si>
  <si>
    <t>Source: Port of Beirut</t>
  </si>
  <si>
    <t>Table (Time Series &amp; Indicators) made by CAS</t>
  </si>
  <si>
    <t>0 --&gt; 75</t>
  </si>
  <si>
    <t>76 --&gt; 150</t>
  </si>
  <si>
    <t>151 --&gt; 225</t>
  </si>
  <si>
    <t>226 --&gt; 300</t>
  </si>
  <si>
    <t>&gt;300</t>
  </si>
  <si>
    <t>Total Import Weight. Tons</t>
  </si>
  <si>
    <t>Total Export Weight. Tons</t>
  </si>
  <si>
    <t>Total</t>
  </si>
  <si>
    <t>Balance = Incoming freight − Outgoing freight</t>
  </si>
  <si>
    <t>Tons</t>
  </si>
  <si>
    <t>Source: Port of Beirut and BDL</t>
  </si>
  <si>
    <t>Incoming Freight (IF)</t>
  </si>
  <si>
    <t>Outgoing Freight (OF)</t>
  </si>
  <si>
    <t>Indicators</t>
  </si>
  <si>
    <t>Total Freight Throughput (TF) = IF+OF</t>
  </si>
  <si>
    <t>Transit &amp; Free Zone at the Port of Beirut (TFZ)</t>
  </si>
  <si>
    <t>Import Dependency Ratio [(IF/TF)*100]</t>
  </si>
  <si>
    <t>Export Dependency Ratio [(OF/TF)*100]</t>
  </si>
  <si>
    <t>Port Specialization Index [(TFZ/TF)*100]</t>
  </si>
  <si>
    <t>Change 2024/1993. %</t>
  </si>
  <si>
    <t>Average Cargo per Vessel (Total Tons/Number of Vessels)</t>
  </si>
  <si>
    <t>Vessels Import Weight (VIW). Tons</t>
  </si>
  <si>
    <t>Vessels Export Weight (VEW). Tons</t>
  </si>
  <si>
    <t>Vessels Total Tons (VIW+VEW)</t>
  </si>
  <si>
    <t>Port of Beirut Movment</t>
  </si>
  <si>
    <t>Average Imported Cargo per Vessel (VIW/Number of Vessels)</t>
  </si>
  <si>
    <t>Average Exported Cargo per Vessel (VEW/Number of Vessels)</t>
  </si>
  <si>
    <t>Vessels or Trips. Count</t>
  </si>
  <si>
    <t>Average TEU per Vessel (Total TEU/Number of Vessels)</t>
  </si>
  <si>
    <t>Vessels Trips or Number (VT). Count</t>
  </si>
  <si>
    <t>Vessel &amp; Traffic Productivity Indicators</t>
  </si>
  <si>
    <t>Containerization Rate (Total TEU*Average Tons per TEU/Total Cargo Tons)</t>
  </si>
  <si>
    <t>Containerization and Cargo Structure Indicators</t>
  </si>
  <si>
    <t>Share of Containerized Cargo TEU-Based [(Total TEU/Total Cargo Tons)*100]</t>
  </si>
  <si>
    <t>Transshipment Ratio [(TEU Transshipment/Total TEU)*100]</t>
  </si>
  <si>
    <t>Local Cargo Ratio [(TEU Local/Total TEU)*100]</t>
  </si>
  <si>
    <t>Freight Balance Index [(Incoming Freight-Outgoing Freight)/Incoming Freight]</t>
  </si>
  <si>
    <t>Net Trade Balance (Incoming Freight-Outgoing Freight)</t>
  </si>
  <si>
    <t>Export Intensity (Exported Merchendise Tons/Total TEU)</t>
  </si>
  <si>
    <t>Import-Export &amp; Trade Balance Indicators</t>
  </si>
  <si>
    <t>Automative and Ro Ro Indicators</t>
  </si>
  <si>
    <t>Port Throughput &amp; Intensity Indicators</t>
  </si>
  <si>
    <t>Cargo Throughput per Trip (Total Cargo Tons/Vessels Trips Count)</t>
  </si>
  <si>
    <t>TEU Throughput per Trip (Total TEU/Vessels Trips Count)</t>
  </si>
  <si>
    <t>Transit &amp; Free Zone Indicators</t>
  </si>
  <si>
    <t>Transit Share [(Transit+Free Zone Cargo)*100/Total Cargo]</t>
  </si>
  <si>
    <t>Gateway Ratio [Local Cargo/(Transit Cargo+Free Zone Cargo)]</t>
  </si>
  <si>
    <t>Composite Performance Indicators</t>
  </si>
  <si>
    <t>Port Utilization Index [Total Cargo Tons/(Number of Vessels*Average Vessel Capacity)]</t>
  </si>
  <si>
    <t>Average Vessel Capacity (Vessels Total Tons/ Vessels Count)</t>
  </si>
  <si>
    <t>A - Port of Beirut</t>
  </si>
  <si>
    <t>Volume &amp; Trade Indicators</t>
  </si>
  <si>
    <t>Total Cargo Throughput (Imported weight+Exported Weight)</t>
  </si>
  <si>
    <t>Trade Balance Net Cargo (Exported Weight-Imporeted Weight)</t>
  </si>
  <si>
    <t>Import Share. % (Imported Weight*100/Total Throughput)</t>
  </si>
  <si>
    <t>Export Share. % (Exported Weight*100/Total Throughput)</t>
  </si>
  <si>
    <t>Vessels Productivity Indicators</t>
  </si>
  <si>
    <t>Average Cargo per Vessel (Total Throughput/Number of Vessels)</t>
  </si>
  <si>
    <t>Average Imported Cargo Per Vessel (Imported Weight/Number of Vessels)</t>
  </si>
  <si>
    <t>Average Exported Cargo per Vessel (Exported Weight/Number of Vessels)</t>
  </si>
  <si>
    <t>Operational Efficiency Indicators</t>
  </si>
  <si>
    <t>Import -Export Ratio (Imported Weight/Exported Weight)</t>
  </si>
  <si>
    <t>Change 2024/2019. %</t>
  </si>
  <si>
    <t>Transported Containers. Count</t>
  </si>
  <si>
    <t>Containers. Count</t>
  </si>
  <si>
    <t>Import of Goods. Tons</t>
  </si>
  <si>
    <t>Export of Goods. Tons</t>
  </si>
  <si>
    <t>Transit of Goods. Tons</t>
  </si>
  <si>
    <t>Imported Cars. Count</t>
  </si>
  <si>
    <t>Exported Cars. Count</t>
  </si>
  <si>
    <t>Loaded / Imported Containers. Count</t>
  </si>
  <si>
    <t>Unloaded / Exported Containers. Count</t>
  </si>
  <si>
    <t>Empty Containers Imported. Count</t>
  </si>
  <si>
    <t>Empty Containers Exported. Count</t>
  </si>
  <si>
    <t>Total Trucks. Count</t>
  </si>
  <si>
    <t>Total Loaded / Unloaded Containers. Count</t>
  </si>
  <si>
    <t>Total Empty Containers Imported and Exported. Count</t>
  </si>
  <si>
    <t>Port of Tripoli Income. USD</t>
  </si>
  <si>
    <t>Ship and Cargo Volume Indicators</t>
  </si>
  <si>
    <t>Import-Export Balance Ratio (Tons of Imported Goods/Tons of Exported Goods)</t>
  </si>
  <si>
    <t>Total Movement of Goods (Imported+Exported) or Total Cargo Throughput. Tons</t>
  </si>
  <si>
    <t>Transit Cargo Percentage (Transit of Goods in Tons*100/Total Tons Movement of Goods)</t>
  </si>
  <si>
    <t>Source: Port of Tripoli</t>
  </si>
  <si>
    <t>Average Cargo per Truck (Total Tons Movement of Goods/Number of Trucks)</t>
  </si>
  <si>
    <t>Truck Flow Balance (Number of Import Trucks/Number of Export Trucks)</t>
  </si>
  <si>
    <t>Truck Traffic Indicators</t>
  </si>
  <si>
    <t>Vehicles Indicators</t>
  </si>
  <si>
    <t>Total Cars. Count</t>
  </si>
  <si>
    <t>Imported Cars Percentage (Imported Number of Cars*100/Total Cars)</t>
  </si>
  <si>
    <t>Container Traffic Indicators</t>
  </si>
  <si>
    <t>Loaded Container Utilization Rate (Total Loaded Containers*100/Number of Containers)</t>
  </si>
  <si>
    <t>Empty Container Ratio (Total Empty Container*100/Number of Containers)</t>
  </si>
  <si>
    <t>Number of Containers (Total Loaded/Unloaded Containers+Total Empty Containers)</t>
  </si>
  <si>
    <t>Intermodal Efficiency Indicators</t>
  </si>
  <si>
    <t>Containers per Truck (Number of Transported Containers/Number of Total Trucks)</t>
  </si>
  <si>
    <t>Tons per Container (Total Tons Movement of Goods/Total Loaded Containers)</t>
  </si>
  <si>
    <t>Financial Performance Indicators</t>
  </si>
  <si>
    <t>Income per Ton (Port Income/Total Tons Movement of Goods)</t>
  </si>
  <si>
    <t>Income per Container (Port Income/Total Number of Conatiners)</t>
  </si>
  <si>
    <t>Income Per Truck (Port Income/Number of Total Trucks)</t>
  </si>
  <si>
    <t>Strategic Balance Indicators</t>
  </si>
  <si>
    <t>Export Orientation Index. % (Tons of Exported Goods*100/Total Tons Movement of Goods)</t>
  </si>
  <si>
    <t>Import Dependency Index. % (Tons of Imported Goods*100/Total Tons Movement of Goods)</t>
  </si>
  <si>
    <t>Vessels. Count</t>
  </si>
  <si>
    <t>Average Cargo per Ship (Total Tons Movement of Goods/Number of Vessels)</t>
  </si>
  <si>
    <t>Container Transport Intensity (Number of Transported Containers/Number of Vessels)</t>
  </si>
  <si>
    <t>Income per Ship (Port Income/Number of Vessels)</t>
  </si>
  <si>
    <t>Port of Beirut &amp; Port of Tripoli Common Variables</t>
  </si>
  <si>
    <t>Total Area. Square Meters</t>
  </si>
  <si>
    <t>Number of Warehouses</t>
  </si>
  <si>
    <t>Number of Yards</t>
  </si>
  <si>
    <t>Free Trade Zone</t>
  </si>
  <si>
    <t>Area. Square Meters</t>
  </si>
  <si>
    <t>Warehouses. Count</t>
  </si>
  <si>
    <t>Spatial Utilization &amp; Density Indicators</t>
  </si>
  <si>
    <t>Truck Traffic Density (Number of Total Trucks/Total Area)</t>
  </si>
  <si>
    <t>Vessels Intensity (Number of Vessels/Total Area)</t>
  </si>
  <si>
    <t>Yard Utilization and Performance Indicators</t>
  </si>
  <si>
    <t>Containers per Yard (Number of Conatiners/Number of Yards)</t>
  </si>
  <si>
    <t>Loaded Container per Yard (Number of Loaded Containers/Number of Yards)</t>
  </si>
  <si>
    <t>Empty Container Pressure (Total Empty Containers/Number of Yards)</t>
  </si>
  <si>
    <t>Tons Handled per Yard (Total Tons Movement of Goods/Number of Yards)</t>
  </si>
  <si>
    <t>Warehouse Utilization Indicators</t>
  </si>
  <si>
    <t>Cargo Volume per Warehouse (Total Tons Movement of Goods/Number of Warehouses)</t>
  </si>
  <si>
    <t>Import Cargo per Warehouse (Tons of Imported Goods/Number of Warehouses)</t>
  </si>
  <si>
    <t>Export Cargo per Warehouse (Tons of Exported Goods/Number of Warehouses)</t>
  </si>
  <si>
    <t>Containers per Warehouse (Number of Containers/Number of Warehouses)</t>
  </si>
  <si>
    <t>Area Allocation &amp; Infrastructure Balance Indicators</t>
  </si>
  <si>
    <t>Area per Warehouse (Total Area/Number of Warehouses)</t>
  </si>
  <si>
    <t>Yard Spatial Allocation (Total Area/Number of Yards)</t>
  </si>
  <si>
    <t>Storage Infrastructure Density (Number of Warehouses/Total Area)</t>
  </si>
  <si>
    <t>Yard Density (Number of Yards/Total Area)</t>
  </si>
  <si>
    <t>Land Productivity (Port Income/Total Area)</t>
  </si>
  <si>
    <t>Income Per Warehouse (Port Income/Number of Warehouses)</t>
  </si>
  <si>
    <t>Income Per Yard (Port Income/Number of Yards)</t>
  </si>
  <si>
    <t>Financial &amp; Economic Intensity Indicators</t>
  </si>
  <si>
    <t>Integrated Capacity Stress Indicators</t>
  </si>
  <si>
    <t>Area Congestion Index (Total Tons of Movements of Tons/Total Area)</t>
  </si>
  <si>
    <t>Container Yard Stress Index (Number of Transported Containers/Number of Yards)</t>
  </si>
  <si>
    <t>Truck Congestion Indicator (Number of Total Trucks/Number of Yards)</t>
  </si>
  <si>
    <t>Strategic Planning Indicators</t>
  </si>
  <si>
    <t>Storage Infrastructure Balance (Number of Warehouses/Number of Yards)</t>
  </si>
  <si>
    <t>Container Spatial Efficiency (Number of Containers/Total Area)</t>
  </si>
  <si>
    <t>Cargo Spatial Efficiency (Total Tons Movement of Goods/Total Area)</t>
  </si>
  <si>
    <t>Capacity Utilization &amp; Intensity Indicators</t>
  </si>
  <si>
    <t>Cargo Throughput Density (TFZ Area) [(Incoming Freight+Outgoing Freight+Transit)/TFZ Area]</t>
  </si>
  <si>
    <t>Warehouse Cargo Load Factor [(Incoming Freight+Outgoing Freight+Transit)/Number of Warehouses]</t>
  </si>
  <si>
    <t>TEU Storage Intensity [Total TEU (Full+Empty)/TFZ Area]</t>
  </si>
  <si>
    <t>Modal &amp; Operational Efficiency Indicators</t>
  </si>
  <si>
    <t>TEU per Warehouse (Total TEU/Number of Warhouses)</t>
  </si>
  <si>
    <t>Import-Export Balance Indicators (TFZ Dependency)</t>
  </si>
  <si>
    <t>Transit Orientation Index {[Transit and Free Zone Cargo/(Incoming Freight+Outgoing Freight)] &lt;  Domestic Trade-Oriented Port}</t>
  </si>
  <si>
    <t>Land Transport Interface Indicators</t>
  </si>
  <si>
    <t>Space Adequacy Index [TFZ Area/(Incoming fret+Outgoing Fret+Transit Fret)</t>
  </si>
  <si>
    <t>Outgoing Freight (Exported Merchandise). Tons</t>
  </si>
  <si>
    <t>Incoming freight (Imported Merchandise). Tons</t>
  </si>
  <si>
    <t>Import-Export Volume Ratio (Imported Merchandise Tons/Exported Merchendise Tons)</t>
  </si>
  <si>
    <t>Total Cargo (Imported Merchandise Tons+Exported Merchandise Tons)</t>
  </si>
  <si>
    <t>Imported Cars per Vessel (Imported Cars/Vessel)</t>
  </si>
  <si>
    <t>Imported Cars per 1,000 Tons (Imported Cars Count/Total Cargo Tons)</t>
  </si>
  <si>
    <t>Tons per Imported Car [(Incoming Freight+Outgoing Freight)/Number of Imported Cars]</t>
  </si>
  <si>
    <t>Imported Cars per TFZ Area (Number of Imported Cars/TFZ Area)</t>
  </si>
  <si>
    <t>Port of Beirut Vessels. Count</t>
  </si>
  <si>
    <t>Port of Tripoli Vessels. Count</t>
  </si>
  <si>
    <t>Port of Beirut Imported Cars. Count</t>
  </si>
  <si>
    <t>Port of Tripoli Imported Cars. Count</t>
  </si>
  <si>
    <t xml:space="preserve">Port of Beirut Imported Goods. Tons </t>
  </si>
  <si>
    <t>Port of Tripoli Imported Goods. Tons</t>
  </si>
  <si>
    <t xml:space="preserve">Port of Beirut Exported Goods. Tons </t>
  </si>
  <si>
    <t>Port of Tripoli Exported Goods. Tons</t>
  </si>
  <si>
    <t xml:space="preserve">Port of Beirut Transit Goods. Tons </t>
  </si>
  <si>
    <t>Port of Tripoli Transit Goods. Tons</t>
  </si>
  <si>
    <t>Port of Beirut FTZ Area. Square Meters</t>
  </si>
  <si>
    <t>Port of Tripoli FTZ Area. Square Meters</t>
  </si>
  <si>
    <t>Port of Beirut Warehouses. Count</t>
  </si>
  <si>
    <t>Port of Tripoli Warehouses. Count</t>
  </si>
  <si>
    <t>Port of Beirut and Port of Tripoli. Indicators</t>
  </si>
  <si>
    <t>B - Port of Tripoli Statistics (2019-2024)</t>
  </si>
  <si>
    <t>Vessels Share per Port. %</t>
  </si>
  <si>
    <t>Port of Beirut Vessels Share. %</t>
  </si>
  <si>
    <t>Port of Tripoli Vessels Share. %</t>
  </si>
  <si>
    <t>Imported Cars Share per Port. %</t>
  </si>
  <si>
    <t>Port of Beirut Imported Cars Share. %</t>
  </si>
  <si>
    <t>Port of Tripoli Imported Cars Share. %</t>
  </si>
  <si>
    <t>Imported Goods Share Per Port. %</t>
  </si>
  <si>
    <t xml:space="preserve">Port of Beirut Imported Goods Share. % </t>
  </si>
  <si>
    <t>Port of Tripoli Imported Goods Share. %</t>
  </si>
  <si>
    <t>Exported Goods Share Per Port. %</t>
  </si>
  <si>
    <t xml:space="preserve">Port of Beirut Exported Goods Share. % </t>
  </si>
  <si>
    <t>Port of Tripoli Exported Goods Share. %</t>
  </si>
  <si>
    <t>Transit Goods Share Per Port. %</t>
  </si>
  <si>
    <t xml:space="preserve">Port of Beirut Transit Goods Share. % </t>
  </si>
  <si>
    <t xml:space="preserve">Port of Beirut FTZ Area Share. % </t>
  </si>
  <si>
    <t>Port of Tripoli Transit  Goods Share. %</t>
  </si>
  <si>
    <t>Port of Tripoli FTZ Area Share. %</t>
  </si>
  <si>
    <t>FTZ Area Share Per Port. %</t>
  </si>
  <si>
    <t>FTZ Warehouses Share Per Port. %</t>
  </si>
  <si>
    <t xml:space="preserve">Port of Beirut FTZ Warehouses Share. % </t>
  </si>
  <si>
    <t>Port of Tripoli FTZ Warehouses Share. %</t>
  </si>
  <si>
    <t>Total Vessels. Count (VC)</t>
  </si>
  <si>
    <t>Total Imported Cars. Count (IC)</t>
  </si>
  <si>
    <t>Total Imported Goods. Tons (IG)</t>
  </si>
  <si>
    <t>Total Exported Goods. Tons (EG)</t>
  </si>
  <si>
    <t>Total Transit Goods. Tons (TG)</t>
  </si>
  <si>
    <t>Total FTZ Area. Square Meters (FA)</t>
  </si>
  <si>
    <t>Total Warehouses. Count (FW)</t>
  </si>
  <si>
    <t>Throughput &amp; Volume Indicators</t>
  </si>
  <si>
    <t>Total Cargo Thoughput Tons (TT) (TT=IG+EG+TG)</t>
  </si>
  <si>
    <t>Import Share of Total Throughput. % (IG*100/TT)</t>
  </si>
  <si>
    <t>Export Share of Total Throughput. % (EG*100/TT)</t>
  </si>
  <si>
    <t>Transit Share of Total Throughput. % (TG*100/TT)</t>
  </si>
  <si>
    <t>Vessel Productivity Indicators</t>
  </si>
  <si>
    <t>Average Cargo per Vessel (TT/VC)</t>
  </si>
  <si>
    <t>Imported Cargo per Vessel (IG/VC)</t>
  </si>
  <si>
    <t>Exported Cargo per Vessel (EG/VC)</t>
  </si>
  <si>
    <t>Trade Balance &amp; Flow Indicators</t>
  </si>
  <si>
    <t>Trade Balance (Tons) (EG-IG)</t>
  </si>
  <si>
    <t>Export-Import Ratio (EG/IG)</t>
  </si>
  <si>
    <t>FTZ Utilization &amp; Density Indicators</t>
  </si>
  <si>
    <t>Cargo Throughput per FTZ Area (TT/FA)</t>
  </si>
  <si>
    <t>Imported Goods per FTZ Area (IG/FA)</t>
  </si>
  <si>
    <t>FTZ Area per Warehouse (FA/FW)</t>
  </si>
  <si>
    <t>Cargo Throughput per Warehouse (TT/FW)</t>
  </si>
  <si>
    <t>Automative Import Indicators</t>
  </si>
  <si>
    <t>Imported Cars per Vessel (IC/VC)</t>
  </si>
  <si>
    <t>Imported Cars per FTZ Warehouse (IC/FW)</t>
  </si>
  <si>
    <t>Imported Cars per FTZ Area (IC/FA)</t>
  </si>
  <si>
    <t>Operational Intensity Indicators</t>
  </si>
  <si>
    <t>Vessels per FTZ Warehouse (VC/FW)</t>
  </si>
  <si>
    <t>Vessels per FTZ Area (VC/FA)</t>
  </si>
  <si>
    <t>Composite &amp; Benchmarking Indicators</t>
  </si>
  <si>
    <t>Goods-to-Vessel Intensity Index (TT/VC)</t>
  </si>
  <si>
    <t>FTZ utilization Index (TT/FA*FW)</t>
  </si>
  <si>
    <t>Source: Port of Beirut, BDL, and Port of Tripoli</t>
  </si>
  <si>
    <t>C - Port of Beirut &amp; Port of Tripoli Aggregate Table (2019-2024)</t>
  </si>
  <si>
    <t>Imported Trucks. Count</t>
  </si>
  <si>
    <t>Exported Trucks. Count</t>
  </si>
  <si>
    <t>Change 2025/1993. %</t>
  </si>
  <si>
    <t>A1. Port of Beirut Summary (1993-2025)</t>
  </si>
  <si>
    <t>A2. Vessels (2014-2025)</t>
  </si>
  <si>
    <t>Change 2025/2014. %</t>
  </si>
  <si>
    <t>A3. Freight Movement (1993-2025)</t>
  </si>
  <si>
    <t>27. Sea Transport (1993-2025)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</si>
</sst>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0.0"/>
    <numFmt numFmtId="168" formatCode="0.000"/>
    <numFmt numFmtId="169" formatCode="#,##0.0"/>
    <numFmt numFmtId="170" formatCode="_(* #,##0.000_);_(* \(#,##0.000\);_(* &quot;-&quot;??_);_(@_)"/>
    <numFmt numFmtId="171" formatCode="#,##0.0000"/>
    <numFmt numFmtId="172" formatCode="#,##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9" tint="-0.49998474074526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6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b/>
      <sz val="7"/>
      <color rgb="FFFF0000"/>
      <name val="Times New Roman"/>
      <family val="1"/>
    </font>
    <font>
      <b/>
      <sz val="6"/>
      <color rgb="FFFF0000"/>
      <name val="Times New Roman"/>
      <family val="1"/>
    </font>
    <font>
      <b/>
      <sz val="7"/>
      <color rgb="FF00B050"/>
      <name val="Times New Roman"/>
      <family val="1"/>
    </font>
    <font>
      <sz val="8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theme="1"/>
      <name val="Times New Roman"/>
      <family val="1"/>
    </font>
    <font>
      <b/>
      <sz val="14"/>
      <color theme="1"/>
      <name val="Times New Roman"/>
      <family val="1"/>
    </font>
    <font>
      <sz val="7"/>
      <color rgb="FFFF0000"/>
      <name val="Times New Roman"/>
      <family val="1"/>
    </font>
    <font>
      <i/>
      <sz val="8"/>
      <name val="Times New Roman"/>
      <family val="1"/>
    </font>
    <font>
      <i/>
      <sz val="7"/>
      <name val="Times New Roman"/>
      <family val="1"/>
    </font>
    <font>
      <b/>
      <i/>
      <sz val="7"/>
      <color rgb="FFFF0000"/>
      <name val="Times New Roman"/>
      <family val="1"/>
    </font>
    <font>
      <b/>
      <i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9">
    <xf numFmtId="0" fontId="0" fillId="0" borderId="0" xfId="0"/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6" fillId="0" borderId="0" xfId="0" applyFont="1" applyAlignment="1">
      <alignment horizontal="right" vertical="center" readingOrder="1"/>
    </xf>
    <xf numFmtId="0" fontId="4" fillId="0" borderId="0" xfId="0" applyFont="1" applyAlignment="1">
      <alignment horizontal="center" vertical="center" readingOrder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7" fillId="0" borderId="1" xfId="0" applyFont="1" applyBorder="1" applyAlignment="1">
      <alignment horizontal="right" vertical="center" wrapText="1" readingOrder="1"/>
    </xf>
    <xf numFmtId="0" fontId="3" fillId="0" borderId="0" xfId="0" applyFont="1" applyAlignment="1">
      <alignment horizontal="center" vertical="center" readingOrder="1"/>
    </xf>
    <xf numFmtId="165" fontId="9" fillId="0" borderId="2" xfId="2" applyNumberFormat="1" applyFont="1" applyBorder="1" applyAlignment="1">
      <alignment horizontal="right" vertical="center" readingOrder="1"/>
    </xf>
    <xf numFmtId="0" fontId="8" fillId="0" borderId="3" xfId="0" applyFont="1" applyBorder="1" applyAlignment="1">
      <alignment horizontal="left" vertical="center" wrapText="1"/>
    </xf>
    <xf numFmtId="165" fontId="9" fillId="0" borderId="5" xfId="2" applyNumberFormat="1" applyFont="1" applyBorder="1" applyAlignment="1">
      <alignment horizontal="right" vertical="center" readingOrder="1"/>
    </xf>
    <xf numFmtId="167" fontId="8" fillId="0" borderId="2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vertical="center" readingOrder="1"/>
    </xf>
    <xf numFmtId="165" fontId="10" fillId="0" borderId="0" xfId="2" applyNumberFormat="1" applyFont="1" applyFill="1" applyBorder="1" applyAlignment="1">
      <alignment vertical="center" readingOrder="1"/>
    </xf>
    <xf numFmtId="0" fontId="4" fillId="0" borderId="0" xfId="0" applyFont="1" applyAlignment="1">
      <alignment horizontal="right" vertical="center" readingOrder="1"/>
    </xf>
    <xf numFmtId="165" fontId="6" fillId="0" borderId="0" xfId="2" applyNumberFormat="1" applyFont="1" applyFill="1" applyBorder="1" applyAlignment="1">
      <alignment vertical="center" readingOrder="1"/>
    </xf>
    <xf numFmtId="0" fontId="2" fillId="0" borderId="0" xfId="0" applyFont="1" applyAlignment="1">
      <alignment horizontal="right" vertical="center" readingOrder="1"/>
    </xf>
    <xf numFmtId="0" fontId="8" fillId="0" borderId="2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readingOrder="1"/>
    </xf>
    <xf numFmtId="164" fontId="8" fillId="0" borderId="2" xfId="1" applyNumberFormat="1" applyFont="1" applyBorder="1" applyAlignment="1">
      <alignment horizontal="right" vertical="center" wrapText="1"/>
    </xf>
    <xf numFmtId="164" fontId="8" fillId="0" borderId="2" xfId="1" applyNumberFormat="1" applyFont="1" applyFill="1" applyBorder="1" applyAlignment="1">
      <alignment horizontal="right" vertical="center" readingOrder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3" xfId="1" applyNumberFormat="1" applyFont="1" applyFill="1" applyBorder="1" applyAlignment="1">
      <alignment horizontal="right" vertical="center" readingOrder="1"/>
    </xf>
    <xf numFmtId="37" fontId="8" fillId="0" borderId="3" xfId="1" applyNumberFormat="1" applyFont="1" applyFill="1" applyBorder="1" applyAlignment="1">
      <alignment horizontal="right" vertical="center" readingOrder="1"/>
    </xf>
    <xf numFmtId="164" fontId="8" fillId="0" borderId="4" xfId="1" applyNumberFormat="1" applyFont="1" applyFill="1" applyBorder="1" applyAlignment="1">
      <alignment horizontal="right" vertical="center" readingOrder="1"/>
    </xf>
    <xf numFmtId="0" fontId="8" fillId="0" borderId="3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3" fontId="8" fillId="0" borderId="3" xfId="1" applyNumberFormat="1" applyFont="1" applyBorder="1" applyAlignment="1">
      <alignment horizontal="right" vertical="center" wrapText="1"/>
    </xf>
    <xf numFmtId="3" fontId="7" fillId="0" borderId="1" xfId="1" applyNumberFormat="1" applyFont="1" applyBorder="1" applyAlignment="1">
      <alignment horizontal="right" vertical="center" wrapText="1"/>
    </xf>
    <xf numFmtId="165" fontId="11" fillId="0" borderId="2" xfId="2" applyNumberFormat="1" applyFont="1" applyBorder="1" applyAlignment="1">
      <alignment horizontal="right" vertical="center" readingOrder="1"/>
    </xf>
    <xf numFmtId="165" fontId="9" fillId="0" borderId="6" xfId="2" applyNumberFormat="1" applyFont="1" applyBorder="1" applyAlignment="1">
      <alignment horizontal="right" vertical="center" readingOrder="1"/>
    </xf>
    <xf numFmtId="165" fontId="11" fillId="0" borderId="5" xfId="2" applyNumberFormat="1" applyFont="1" applyBorder="1" applyAlignment="1">
      <alignment horizontal="right" vertical="center" readingOrder="1"/>
    </xf>
    <xf numFmtId="165" fontId="11" fillId="0" borderId="6" xfId="2" applyNumberFormat="1" applyFont="1" applyBorder="1" applyAlignment="1">
      <alignment horizontal="right" vertical="center" readingOrder="1"/>
    </xf>
    <xf numFmtId="0" fontId="7" fillId="0" borderId="0" xfId="0" applyFont="1" applyAlignment="1">
      <alignment horizontal="center" vertical="center" wrapText="1"/>
    </xf>
    <xf numFmtId="164" fontId="8" fillId="0" borderId="6" xfId="1" applyNumberFormat="1" applyFont="1" applyFill="1" applyBorder="1" applyAlignment="1">
      <alignment horizontal="right" vertical="center" readingOrder="1"/>
    </xf>
    <xf numFmtId="165" fontId="9" fillId="0" borderId="0" xfId="2" applyNumberFormat="1" applyFont="1" applyBorder="1" applyAlignment="1">
      <alignment horizontal="right" vertical="center" readingOrder="1"/>
    </xf>
    <xf numFmtId="0" fontId="8" fillId="0" borderId="2" xfId="1" applyNumberFormat="1" applyFont="1" applyBorder="1" applyAlignment="1">
      <alignment horizontal="right" vertical="center" wrapText="1"/>
    </xf>
    <xf numFmtId="3" fontId="8" fillId="0" borderId="2" xfId="1" applyNumberFormat="1" applyFont="1" applyFill="1" applyBorder="1" applyAlignment="1">
      <alignment horizontal="right" vertical="center" readingOrder="1"/>
    </xf>
    <xf numFmtId="3" fontId="8" fillId="0" borderId="3" xfId="1" applyNumberFormat="1" applyFont="1" applyFill="1" applyBorder="1" applyAlignment="1">
      <alignment horizontal="right" vertical="center" readingOrder="1"/>
    </xf>
    <xf numFmtId="0" fontId="7" fillId="0" borderId="0" xfId="0" applyFont="1" applyAlignment="1">
      <alignment horizontal="right" vertical="center" wrapText="1" readingOrder="1"/>
    </xf>
    <xf numFmtId="165" fontId="11" fillId="0" borderId="0" xfId="2" applyNumberFormat="1" applyFont="1" applyBorder="1" applyAlignment="1">
      <alignment horizontal="right" vertical="center" readingOrder="1"/>
    </xf>
    <xf numFmtId="0" fontId="8" fillId="0" borderId="2" xfId="1" applyNumberFormat="1" applyFont="1" applyFill="1" applyBorder="1" applyAlignment="1">
      <alignment horizontal="right" vertical="center" readingOrder="1"/>
    </xf>
    <xf numFmtId="0" fontId="8" fillId="0" borderId="3" xfId="1" applyNumberFormat="1" applyFont="1" applyFill="1" applyBorder="1" applyAlignment="1">
      <alignment horizontal="right" vertical="center" readingOrder="1"/>
    </xf>
    <xf numFmtId="165" fontId="9" fillId="0" borderId="7" xfId="2" applyNumberFormat="1" applyFont="1" applyBorder="1" applyAlignment="1">
      <alignment horizontal="right" vertical="center" readingOrder="1"/>
    </xf>
    <xf numFmtId="0" fontId="12" fillId="0" borderId="0" xfId="0" applyFont="1" applyAlignment="1">
      <alignment horizontal="left"/>
    </xf>
    <xf numFmtId="0" fontId="13" fillId="0" borderId="1" xfId="0" applyFont="1" applyBorder="1" applyAlignment="1">
      <alignment horizontal="left" vertical="center" wrapText="1" readingOrder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readingOrder="1"/>
    </xf>
    <xf numFmtId="0" fontId="13" fillId="0" borderId="1" xfId="0" applyFont="1" applyBorder="1" applyAlignment="1">
      <alignment horizontal="right" vertical="center" wrapText="1" readingOrder="1"/>
    </xf>
    <xf numFmtId="0" fontId="13" fillId="0" borderId="0" xfId="0" applyFont="1" applyAlignment="1">
      <alignment horizontal="right" vertical="center" wrapText="1" readingOrder="1"/>
    </xf>
    <xf numFmtId="0" fontId="13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readingOrder="1"/>
    </xf>
    <xf numFmtId="0" fontId="14" fillId="0" borderId="5" xfId="0" applyFont="1" applyBorder="1" applyAlignment="1">
      <alignment horizontal="left" vertical="center" wrapText="1"/>
    </xf>
    <xf numFmtId="3" fontId="8" fillId="0" borderId="2" xfId="1" applyNumberFormat="1" applyFont="1" applyBorder="1" applyAlignment="1">
      <alignment horizontal="right" vertical="center" wrapText="1"/>
    </xf>
    <xf numFmtId="3" fontId="8" fillId="0" borderId="6" xfId="1" applyNumberFormat="1" applyFont="1" applyBorder="1" applyAlignment="1">
      <alignment horizontal="right" vertical="center" wrapText="1"/>
    </xf>
    <xf numFmtId="3" fontId="8" fillId="0" borderId="6" xfId="1" applyNumberFormat="1" applyFont="1" applyFill="1" applyBorder="1" applyAlignment="1">
      <alignment horizontal="right" vertical="center" readingOrder="1"/>
    </xf>
    <xf numFmtId="165" fontId="11" fillId="0" borderId="1" xfId="2" applyNumberFormat="1" applyFont="1" applyBorder="1" applyAlignment="1">
      <alignment horizontal="right" vertical="center" readingOrder="1"/>
    </xf>
    <xf numFmtId="0" fontId="3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readingOrder="1"/>
    </xf>
    <xf numFmtId="3" fontId="8" fillId="0" borderId="2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readingOrder="1"/>
    </xf>
    <xf numFmtId="165" fontId="10" fillId="0" borderId="0" xfId="2" applyNumberFormat="1" applyFont="1" applyFill="1" applyBorder="1" applyAlignment="1">
      <alignment horizontal="right" vertical="center" readingOrder="1"/>
    </xf>
    <xf numFmtId="165" fontId="6" fillId="0" borderId="0" xfId="2" applyNumberFormat="1" applyFont="1" applyFill="1" applyBorder="1" applyAlignment="1">
      <alignment horizontal="right" vertical="center" readingOrder="1"/>
    </xf>
    <xf numFmtId="164" fontId="8" fillId="0" borderId="2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5" fontId="8" fillId="0" borderId="2" xfId="2" applyNumberFormat="1" applyFont="1" applyBorder="1" applyAlignment="1">
      <alignment horizontal="right" vertical="center" wrapText="1"/>
    </xf>
    <xf numFmtId="165" fontId="8" fillId="0" borderId="6" xfId="2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right" vertical="center" wrapText="1"/>
    </xf>
    <xf numFmtId="3" fontId="17" fillId="0" borderId="2" xfId="1" applyNumberFormat="1" applyFont="1" applyBorder="1" applyAlignment="1">
      <alignment horizontal="right" vertical="center" wrapText="1"/>
    </xf>
    <xf numFmtId="169" fontId="8" fillId="0" borderId="2" xfId="1" applyNumberFormat="1" applyFont="1" applyBorder="1" applyAlignment="1">
      <alignment horizontal="right" vertical="center" wrapText="1"/>
    </xf>
    <xf numFmtId="169" fontId="8" fillId="0" borderId="1" xfId="1" applyNumberFormat="1" applyFont="1" applyBorder="1" applyAlignment="1">
      <alignment horizontal="right" vertical="center" wrapText="1"/>
    </xf>
    <xf numFmtId="165" fontId="9" fillId="0" borderId="1" xfId="2" applyNumberFormat="1" applyFont="1" applyBorder="1" applyAlignment="1">
      <alignment horizontal="right" vertical="center" readingOrder="1"/>
    </xf>
    <xf numFmtId="166" fontId="8" fillId="0" borderId="2" xfId="1" applyNumberFormat="1" applyFont="1" applyFill="1" applyBorder="1" applyAlignment="1">
      <alignment horizontal="right" vertical="center" readingOrder="1"/>
    </xf>
    <xf numFmtId="0" fontId="14" fillId="0" borderId="3" xfId="0" applyFont="1" applyBorder="1" applyAlignment="1">
      <alignment horizontal="left" vertical="center" wrapText="1" readingOrder="1"/>
    </xf>
    <xf numFmtId="164" fontId="8" fillId="0" borderId="3" xfId="1" applyNumberFormat="1" applyFont="1" applyBorder="1" applyAlignment="1">
      <alignment horizontal="right" vertical="center" wrapText="1" readingOrder="1"/>
    </xf>
    <xf numFmtId="165" fontId="11" fillId="0" borderId="3" xfId="2" applyNumberFormat="1" applyFont="1" applyBorder="1" applyAlignment="1">
      <alignment horizontal="right" vertical="center" readingOrder="1"/>
    </xf>
    <xf numFmtId="0" fontId="14" fillId="0" borderId="7" xfId="0" applyFont="1" applyBorder="1" applyAlignment="1">
      <alignment horizontal="left" vertical="center" wrapText="1" readingOrder="1"/>
    </xf>
    <xf numFmtId="164" fontId="8" fillId="0" borderId="7" xfId="1" applyNumberFormat="1" applyFont="1" applyBorder="1" applyAlignment="1">
      <alignment horizontal="right" vertical="center" wrapText="1" readingOrder="1"/>
    </xf>
    <xf numFmtId="165" fontId="9" fillId="0" borderId="9" xfId="2" applyNumberFormat="1" applyFont="1" applyBorder="1" applyAlignment="1">
      <alignment horizontal="right" vertical="center" readingOrder="1"/>
    </xf>
    <xf numFmtId="0" fontId="18" fillId="0" borderId="9" xfId="0" applyFont="1" applyBorder="1" applyAlignment="1">
      <alignment horizontal="left" vertical="center" wrapText="1"/>
    </xf>
    <xf numFmtId="164" fontId="19" fillId="0" borderId="9" xfId="1" applyNumberFormat="1" applyFont="1" applyFill="1" applyBorder="1" applyAlignment="1">
      <alignment horizontal="right" vertical="center" readingOrder="1"/>
    </xf>
    <xf numFmtId="165" fontId="20" fillId="0" borderId="9" xfId="2" applyNumberFormat="1" applyFont="1" applyBorder="1" applyAlignment="1">
      <alignment horizontal="right" vertical="center" readingOrder="1"/>
    </xf>
    <xf numFmtId="0" fontId="14" fillId="0" borderId="10" xfId="0" applyFont="1" applyBorder="1" applyAlignment="1">
      <alignment horizontal="left" vertical="center" wrapText="1" readingOrder="1"/>
    </xf>
    <xf numFmtId="164" fontId="8" fillId="0" borderId="10" xfId="1" applyNumberFormat="1" applyFont="1" applyBorder="1" applyAlignment="1">
      <alignment horizontal="right" vertical="center" wrapText="1" readingOrder="1"/>
    </xf>
    <xf numFmtId="0" fontId="14" fillId="0" borderId="9" xfId="0" applyFont="1" applyBorder="1" applyAlignment="1">
      <alignment horizontal="left" vertical="center" wrapText="1" readingOrder="1"/>
    </xf>
    <xf numFmtId="164" fontId="8" fillId="0" borderId="9" xfId="1" applyNumberFormat="1" applyFont="1" applyBorder="1" applyAlignment="1">
      <alignment horizontal="right" vertical="center" wrapText="1" readingOrder="1"/>
    </xf>
    <xf numFmtId="165" fontId="11" fillId="0" borderId="9" xfId="2" applyNumberFormat="1" applyFont="1" applyBorder="1" applyAlignment="1">
      <alignment horizontal="right" vertical="center" readingOrder="1"/>
    </xf>
    <xf numFmtId="0" fontId="18" fillId="0" borderId="9" xfId="0" applyFont="1" applyBorder="1" applyAlignment="1">
      <alignment horizontal="left" vertical="center" wrapText="1" readingOrder="1"/>
    </xf>
    <xf numFmtId="164" fontId="19" fillId="0" borderId="9" xfId="1" applyNumberFormat="1" applyFont="1" applyBorder="1" applyAlignment="1">
      <alignment horizontal="right" vertical="center" wrapText="1" readingOrder="1"/>
    </xf>
    <xf numFmtId="37" fontId="8" fillId="0" borderId="7" xfId="1" applyNumberFormat="1" applyFont="1" applyBorder="1" applyAlignment="1">
      <alignment horizontal="right" vertical="center" wrapText="1" readingOrder="1"/>
    </xf>
    <xf numFmtId="0" fontId="21" fillId="0" borderId="0" xfId="0" applyFont="1" applyAlignment="1">
      <alignment horizontal="right" vertical="center" wrapText="1" readingOrder="1"/>
    </xf>
    <xf numFmtId="0" fontId="21" fillId="0" borderId="0" xfId="0" applyFont="1" applyAlignment="1">
      <alignment horizontal="center" vertical="center" readingOrder="1"/>
    </xf>
    <xf numFmtId="164" fontId="8" fillId="0" borderId="7" xfId="1" applyNumberFormat="1" applyFont="1" applyFill="1" applyBorder="1" applyAlignment="1">
      <alignment horizontal="right" vertical="center" readingOrder="1"/>
    </xf>
    <xf numFmtId="0" fontId="14" fillId="0" borderId="11" xfId="0" applyFont="1" applyBorder="1" applyAlignment="1">
      <alignment horizontal="left" vertical="center" wrapText="1" readingOrder="1"/>
    </xf>
    <xf numFmtId="164" fontId="8" fillId="0" borderId="11" xfId="1" applyNumberFormat="1" applyFont="1" applyBorder="1" applyAlignment="1">
      <alignment horizontal="right" vertical="center" wrapText="1" readingOrder="1"/>
    </xf>
    <xf numFmtId="164" fontId="13" fillId="0" borderId="0" xfId="1" applyNumberFormat="1" applyFont="1" applyAlignment="1">
      <alignment horizontal="right" vertical="center" readingOrder="1"/>
    </xf>
    <xf numFmtId="164" fontId="22" fillId="0" borderId="0" xfId="1" applyNumberFormat="1" applyFont="1" applyAlignment="1">
      <alignment horizontal="right"/>
    </xf>
    <xf numFmtId="164" fontId="21" fillId="0" borderId="0" xfId="1" applyNumberFormat="1" applyFont="1" applyAlignment="1">
      <alignment horizontal="right" vertical="center" readingOrder="1"/>
    </xf>
    <xf numFmtId="164" fontId="14" fillId="0" borderId="0" xfId="1" applyNumberFormat="1" applyFont="1" applyAlignment="1">
      <alignment horizontal="right" vertical="center" readingOrder="1"/>
    </xf>
    <xf numFmtId="165" fontId="9" fillId="0" borderId="3" xfId="2" applyNumberFormat="1" applyFont="1" applyBorder="1" applyAlignment="1">
      <alignment horizontal="right" vertical="center" readingOrder="1"/>
    </xf>
    <xf numFmtId="165" fontId="9" fillId="0" borderId="10" xfId="2" applyNumberFormat="1" applyFont="1" applyBorder="1" applyAlignment="1">
      <alignment horizontal="right" vertical="center" readingOrder="1"/>
    </xf>
    <xf numFmtId="165" fontId="9" fillId="0" borderId="11" xfId="2" applyNumberFormat="1" applyFont="1" applyBorder="1" applyAlignment="1">
      <alignment horizontal="right" vertical="center" readingOrder="1"/>
    </xf>
    <xf numFmtId="165" fontId="11" fillId="0" borderId="4" xfId="2" applyNumberFormat="1" applyFont="1" applyBorder="1" applyAlignment="1">
      <alignment horizontal="right" vertical="center" readingOrder="1"/>
    </xf>
    <xf numFmtId="165" fontId="8" fillId="0" borderId="2" xfId="2" applyNumberFormat="1" applyFont="1" applyFill="1" applyBorder="1" applyAlignment="1">
      <alignment horizontal="right" vertical="center" readingOrder="1"/>
    </xf>
    <xf numFmtId="165" fontId="20" fillId="0" borderId="10" xfId="2" applyNumberFormat="1" applyFont="1" applyBorder="1" applyAlignment="1">
      <alignment horizontal="right" vertical="center" readingOrder="1"/>
    </xf>
    <xf numFmtId="165" fontId="9" fillId="0" borderId="4" xfId="2" applyNumberFormat="1" applyFont="1" applyBorder="1" applyAlignment="1">
      <alignment horizontal="right" vertical="center" readingOrder="1"/>
    </xf>
    <xf numFmtId="169" fontId="8" fillId="0" borderId="2" xfId="2" applyNumberFormat="1" applyFont="1" applyFill="1" applyBorder="1" applyAlignment="1">
      <alignment horizontal="right" vertical="center" readingOrder="1"/>
    </xf>
    <xf numFmtId="3" fontId="8" fillId="0" borderId="2" xfId="2" applyNumberFormat="1" applyFont="1" applyFill="1" applyBorder="1" applyAlignment="1">
      <alignment horizontal="right" vertical="center" readingOrder="1"/>
    </xf>
    <xf numFmtId="165" fontId="8" fillId="0" borderId="6" xfId="2" applyNumberFormat="1" applyFont="1" applyFill="1" applyBorder="1" applyAlignment="1">
      <alignment horizontal="right" vertical="center" readingOrder="1"/>
    </xf>
    <xf numFmtId="170" fontId="8" fillId="0" borderId="2" xfId="1" applyNumberFormat="1" applyFont="1" applyFill="1" applyBorder="1" applyAlignment="1">
      <alignment horizontal="right" vertical="center" readingOrder="1"/>
    </xf>
    <xf numFmtId="165" fontId="7" fillId="0" borderId="2" xfId="2" applyNumberFormat="1" applyFont="1" applyBorder="1" applyAlignment="1">
      <alignment horizontal="right" vertical="center" readingOrder="1"/>
    </xf>
    <xf numFmtId="165" fontId="7" fillId="0" borderId="7" xfId="2" applyNumberFormat="1" applyFont="1" applyBorder="1" applyAlignment="1">
      <alignment horizontal="right" vertical="center" readingOrder="1"/>
    </xf>
    <xf numFmtId="171" fontId="8" fillId="0" borderId="2" xfId="2" applyNumberFormat="1" applyFont="1" applyFill="1" applyBorder="1" applyAlignment="1">
      <alignment horizontal="right" vertical="center" readingOrder="1"/>
    </xf>
    <xf numFmtId="166" fontId="8" fillId="0" borderId="1" xfId="1" applyNumberFormat="1" applyFont="1" applyFill="1" applyBorder="1" applyAlignment="1">
      <alignment horizontal="right" vertical="center" readingOrder="1"/>
    </xf>
    <xf numFmtId="165" fontId="7" fillId="0" borderId="1" xfId="2" applyNumberFormat="1" applyFont="1" applyBorder="1" applyAlignment="1">
      <alignment horizontal="right" vertical="center" readingOrder="1"/>
    </xf>
    <xf numFmtId="164" fontId="8" fillId="0" borderId="3" xfId="1" applyNumberFormat="1" applyFont="1" applyFill="1" applyBorder="1" applyAlignment="1">
      <alignment horizontal="right" vertical="center" wrapText="1"/>
    </xf>
    <xf numFmtId="3" fontId="8" fillId="0" borderId="3" xfId="1" applyNumberFormat="1" applyFont="1" applyFill="1" applyBorder="1" applyAlignment="1">
      <alignment horizontal="right" vertical="center" wrapText="1"/>
    </xf>
    <xf numFmtId="164" fontId="8" fillId="0" borderId="4" xfId="1" applyNumberFormat="1" applyFont="1" applyFill="1" applyBorder="1" applyAlignment="1">
      <alignment horizontal="right" vertical="center" wrapText="1"/>
    </xf>
    <xf numFmtId="164" fontId="7" fillId="0" borderId="1" xfId="1" applyNumberFormat="1" applyFont="1" applyFill="1" applyBorder="1" applyAlignment="1">
      <alignment horizontal="right" vertical="center" wrapText="1"/>
    </xf>
    <xf numFmtId="164" fontId="8" fillId="0" borderId="5" xfId="1" applyNumberFormat="1" applyFont="1" applyFill="1" applyBorder="1" applyAlignment="1">
      <alignment horizontal="center" vertical="center" wrapText="1"/>
    </xf>
    <xf numFmtId="166" fontId="8" fillId="0" borderId="2" xfId="1" applyNumberFormat="1" applyFont="1" applyFill="1" applyBorder="1" applyAlignment="1">
      <alignment horizontal="right" vertical="center" wrapText="1"/>
    </xf>
    <xf numFmtId="43" fontId="8" fillId="0" borderId="2" xfId="1" applyFont="1" applyFill="1" applyBorder="1" applyAlignment="1">
      <alignment horizontal="right" vertical="center" wrapText="1"/>
    </xf>
    <xf numFmtId="165" fontId="8" fillId="0" borderId="7" xfId="2" applyNumberFormat="1" applyFont="1" applyFill="1" applyBorder="1" applyAlignment="1">
      <alignment horizontal="right" vertical="center" wrapText="1"/>
    </xf>
    <xf numFmtId="3" fontId="8" fillId="0" borderId="7" xfId="2" applyNumberFormat="1" applyFont="1" applyFill="1" applyBorder="1" applyAlignment="1">
      <alignment horizontal="right" vertical="center" wrapText="1"/>
    </xf>
    <xf numFmtId="169" fontId="8" fillId="0" borderId="7" xfId="2" applyNumberFormat="1" applyFont="1" applyFill="1" applyBorder="1" applyAlignment="1">
      <alignment horizontal="right" vertical="center" wrapText="1"/>
    </xf>
    <xf numFmtId="165" fontId="9" fillId="0" borderId="2" xfId="2" applyNumberFormat="1" applyFont="1" applyFill="1" applyBorder="1" applyAlignment="1">
      <alignment horizontal="right" vertical="center" readingOrder="1"/>
    </xf>
    <xf numFmtId="165" fontId="11" fillId="0" borderId="2" xfId="2" applyNumberFormat="1" applyFont="1" applyFill="1" applyBorder="1" applyAlignment="1">
      <alignment horizontal="right" vertical="center" readingOrder="1"/>
    </xf>
    <xf numFmtId="165" fontId="9" fillId="0" borderId="5" xfId="2" applyNumberFormat="1" applyFont="1" applyFill="1" applyBorder="1" applyAlignment="1">
      <alignment horizontal="right" vertical="center" readingOrder="1"/>
    </xf>
    <xf numFmtId="165" fontId="9" fillId="0" borderId="6" xfId="2" applyNumberFormat="1" applyFont="1" applyFill="1" applyBorder="1" applyAlignment="1">
      <alignment horizontal="right" vertical="center" readingOrder="1"/>
    </xf>
    <xf numFmtId="165" fontId="8" fillId="0" borderId="2" xfId="2" applyNumberFormat="1" applyFont="1" applyFill="1" applyBorder="1" applyAlignment="1">
      <alignment horizontal="right" vertical="center" wrapText="1"/>
    </xf>
    <xf numFmtId="164" fontId="8" fillId="0" borderId="5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164" fontId="8" fillId="0" borderId="0" xfId="1" applyNumberFormat="1" applyFont="1" applyFill="1" applyBorder="1" applyAlignment="1">
      <alignment horizontal="right" vertical="center" wrapText="1"/>
    </xf>
    <xf numFmtId="165" fontId="9" fillId="0" borderId="9" xfId="2" applyNumberFormat="1" applyFont="1" applyFill="1" applyBorder="1" applyAlignment="1">
      <alignment horizontal="right" vertical="center" readingOrder="1"/>
    </xf>
    <xf numFmtId="0" fontId="13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4" fontId="7" fillId="0" borderId="9" xfId="1" applyNumberFormat="1" applyFont="1" applyFill="1" applyBorder="1" applyAlignment="1">
      <alignment horizontal="right" vertical="center" wrapText="1"/>
    </xf>
    <xf numFmtId="3" fontId="7" fillId="0" borderId="9" xfId="1" applyNumberFormat="1" applyFont="1" applyFill="1" applyBorder="1" applyAlignment="1">
      <alignment horizontal="right" vertical="center" readingOrder="1"/>
    </xf>
    <xf numFmtId="165" fontId="9" fillId="0" borderId="12" xfId="2" applyNumberFormat="1" applyFont="1" applyFill="1" applyBorder="1" applyAlignment="1">
      <alignment horizontal="right" vertical="center" readingOrder="1"/>
    </xf>
    <xf numFmtId="165" fontId="11" fillId="0" borderId="12" xfId="2" applyNumberFormat="1" applyFont="1" applyFill="1" applyBorder="1" applyAlignment="1">
      <alignment horizontal="right" vertical="center" readingOrder="1"/>
    </xf>
    <xf numFmtId="165" fontId="9" fillId="0" borderId="13" xfId="2" applyNumberFormat="1" applyFont="1" applyFill="1" applyBorder="1" applyAlignment="1">
      <alignment horizontal="right" vertical="center" readingOrder="1"/>
    </xf>
    <xf numFmtId="165" fontId="9" fillId="0" borderId="10" xfId="2" applyNumberFormat="1" applyFont="1" applyFill="1" applyBorder="1" applyAlignment="1">
      <alignment horizontal="right" vertical="center" readingOrder="1"/>
    </xf>
    <xf numFmtId="165" fontId="11" fillId="0" borderId="13" xfId="2" applyNumberFormat="1" applyFont="1" applyFill="1" applyBorder="1" applyAlignment="1">
      <alignment horizontal="right" vertical="center" readingOrder="1"/>
    </xf>
    <xf numFmtId="165" fontId="11" fillId="0" borderId="10" xfId="2" applyNumberFormat="1" applyFont="1" applyFill="1" applyBorder="1" applyAlignment="1">
      <alignment horizontal="right" vertical="center" readingOrder="1"/>
    </xf>
    <xf numFmtId="165" fontId="7" fillId="0" borderId="13" xfId="2" applyNumberFormat="1" applyFont="1" applyFill="1" applyBorder="1" applyAlignment="1">
      <alignment horizontal="right" vertical="center" readingOrder="1"/>
    </xf>
    <xf numFmtId="165" fontId="7" fillId="0" borderId="10" xfId="2" applyNumberFormat="1" applyFont="1" applyFill="1" applyBorder="1" applyAlignment="1">
      <alignment horizontal="right" vertical="center" readingOrder="1"/>
    </xf>
    <xf numFmtId="165" fontId="7" fillId="0" borderId="9" xfId="2" applyNumberFormat="1" applyFont="1" applyFill="1" applyBorder="1" applyAlignment="1">
      <alignment horizontal="right" vertical="center" readingOrder="1"/>
    </xf>
    <xf numFmtId="0" fontId="3" fillId="0" borderId="0" xfId="0" applyFont="1" applyAlignment="1">
      <alignment horizontal="left" vertical="center" readingOrder="1"/>
    </xf>
    <xf numFmtId="0" fontId="14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3" fontId="8" fillId="0" borderId="5" xfId="1" applyNumberFormat="1" applyFont="1" applyFill="1" applyBorder="1" applyAlignment="1">
      <alignment horizontal="right" vertical="center" wrapText="1"/>
    </xf>
    <xf numFmtId="165" fontId="8" fillId="0" borderId="5" xfId="2" applyNumberFormat="1" applyFont="1" applyFill="1" applyBorder="1" applyAlignment="1">
      <alignment horizontal="right" vertical="center" readingOrder="1"/>
    </xf>
    <xf numFmtId="164" fontId="8" fillId="0" borderId="6" xfId="1" applyNumberFormat="1" applyFont="1" applyFill="1" applyBorder="1" applyAlignment="1">
      <alignment horizontal="right" vertical="center" wrapText="1"/>
    </xf>
    <xf numFmtId="3" fontId="8" fillId="0" borderId="6" xfId="1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center" wrapText="1"/>
    </xf>
    <xf numFmtId="165" fontId="11" fillId="0" borderId="5" xfId="2" applyNumberFormat="1" applyFont="1" applyFill="1" applyBorder="1" applyAlignment="1">
      <alignment horizontal="right" vertical="center" readingOrder="1"/>
    </xf>
    <xf numFmtId="0" fontId="8" fillId="0" borderId="6" xfId="0" applyFont="1" applyBorder="1" applyAlignment="1">
      <alignment horizontal="left" vertical="center" wrapText="1"/>
    </xf>
    <xf numFmtId="165" fontId="8" fillId="0" borderId="11" xfId="2" applyNumberFormat="1" applyFont="1" applyFill="1" applyBorder="1" applyAlignment="1">
      <alignment vertical="center" wrapText="1"/>
    </xf>
    <xf numFmtId="165" fontId="8" fillId="0" borderId="14" xfId="2" applyNumberFormat="1" applyFont="1" applyFill="1" applyBorder="1" applyAlignment="1">
      <alignment vertical="center" wrapText="1"/>
    </xf>
    <xf numFmtId="165" fontId="11" fillId="0" borderId="6" xfId="2" applyNumberFormat="1" applyFont="1" applyFill="1" applyBorder="1" applyAlignment="1">
      <alignment horizontal="right" vertical="center" readingOrder="1"/>
    </xf>
    <xf numFmtId="0" fontId="14" fillId="0" borderId="1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165" fontId="7" fillId="0" borderId="5" xfId="2" applyNumberFormat="1" applyFont="1" applyFill="1" applyBorder="1" applyAlignment="1">
      <alignment horizontal="right" vertical="center" readingOrder="1"/>
    </xf>
    <xf numFmtId="165" fontId="7" fillId="0" borderId="6" xfId="2" applyNumberFormat="1" applyFont="1" applyFill="1" applyBorder="1" applyAlignment="1">
      <alignment horizontal="right" vertical="center" readingOrder="1"/>
    </xf>
    <xf numFmtId="3" fontId="8" fillId="0" borderId="5" xfId="2" applyNumberFormat="1" applyFont="1" applyFill="1" applyBorder="1" applyAlignment="1">
      <alignment vertical="center" wrapText="1"/>
    </xf>
    <xf numFmtId="166" fontId="8" fillId="0" borderId="2" xfId="0" applyNumberFormat="1" applyFont="1" applyBorder="1" applyAlignment="1">
      <alignment horizontal="right" vertical="center" wrapText="1"/>
    </xf>
    <xf numFmtId="3" fontId="8" fillId="0" borderId="2" xfId="2" applyNumberFormat="1" applyFont="1" applyFill="1" applyBorder="1" applyAlignment="1">
      <alignment horizontal="right" vertical="center" wrapText="1"/>
    </xf>
    <xf numFmtId="3" fontId="17" fillId="0" borderId="2" xfId="1" applyNumberFormat="1" applyFont="1" applyFill="1" applyBorder="1" applyAlignment="1">
      <alignment horizontal="right" vertical="center" wrapText="1"/>
    </xf>
    <xf numFmtId="164" fontId="8" fillId="0" borderId="2" xfId="1" applyNumberFormat="1" applyFont="1" applyFill="1" applyBorder="1" applyAlignment="1">
      <alignment horizontal="right" vertical="center" wrapText="1"/>
    </xf>
    <xf numFmtId="165" fontId="7" fillId="0" borderId="2" xfId="2" applyNumberFormat="1" applyFont="1" applyFill="1" applyBorder="1" applyAlignment="1">
      <alignment horizontal="right" vertical="center" readingOrder="1"/>
    </xf>
    <xf numFmtId="2" fontId="8" fillId="0" borderId="2" xfId="0" applyNumberFormat="1" applyFont="1" applyBorder="1" applyAlignment="1">
      <alignment horizontal="right" vertical="center" wrapText="1"/>
    </xf>
    <xf numFmtId="166" fontId="8" fillId="0" borderId="8" xfId="1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vertical="center" wrapText="1"/>
    </xf>
    <xf numFmtId="168" fontId="8" fillId="0" borderId="3" xfId="1" applyNumberFormat="1" applyFont="1" applyFill="1" applyBorder="1" applyAlignment="1">
      <alignment horizontal="right" vertical="center" wrapText="1"/>
    </xf>
    <xf numFmtId="0" fontId="8" fillId="0" borderId="3" xfId="1" applyNumberFormat="1" applyFont="1" applyFill="1" applyBorder="1" applyAlignment="1">
      <alignment horizontal="right" vertical="center" wrapText="1"/>
    </xf>
    <xf numFmtId="37" fontId="8" fillId="0" borderId="3" xfId="1" applyNumberFormat="1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 wrapText="1"/>
    </xf>
    <xf numFmtId="3" fontId="8" fillId="0" borderId="4" xfId="1" applyNumberFormat="1" applyFont="1" applyFill="1" applyBorder="1" applyAlignment="1">
      <alignment horizontal="right" vertical="center" wrapText="1"/>
    </xf>
    <xf numFmtId="3" fontId="7" fillId="0" borderId="1" xfId="1" applyNumberFormat="1" applyFont="1" applyFill="1" applyBorder="1" applyAlignment="1">
      <alignment horizontal="right" vertical="center" wrapText="1"/>
    </xf>
    <xf numFmtId="165" fontId="9" fillId="0" borderId="5" xfId="2" applyNumberFormat="1" applyFont="1" applyFill="1" applyBorder="1" applyAlignment="1">
      <alignment horizontal="right" vertical="center" wrapText="1"/>
    </xf>
    <xf numFmtId="165" fontId="9" fillId="0" borderId="2" xfId="2" applyNumberFormat="1" applyFont="1" applyFill="1" applyBorder="1" applyAlignment="1">
      <alignment horizontal="right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37" fontId="8" fillId="0" borderId="2" xfId="1" applyNumberFormat="1" applyFont="1" applyFill="1" applyBorder="1" applyAlignment="1">
      <alignment horizontal="center" vertical="center" wrapText="1"/>
    </xf>
    <xf numFmtId="165" fontId="11" fillId="0" borderId="2" xfId="2" applyNumberFormat="1" applyFont="1" applyFill="1" applyBorder="1" applyAlignment="1">
      <alignment horizontal="right" vertical="center" wrapText="1"/>
    </xf>
    <xf numFmtId="165" fontId="9" fillId="0" borderId="6" xfId="2" applyNumberFormat="1" applyFont="1" applyFill="1" applyBorder="1" applyAlignment="1">
      <alignment horizontal="right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7" fontId="8" fillId="0" borderId="7" xfId="0" applyNumberFormat="1" applyFont="1" applyBorder="1" applyAlignment="1">
      <alignment horizontal="right" vertical="center" wrapText="1"/>
    </xf>
    <xf numFmtId="165" fontId="11" fillId="0" borderId="7" xfId="2" applyNumberFormat="1" applyFont="1" applyFill="1" applyBorder="1" applyAlignment="1">
      <alignment horizontal="right" vertical="center" wrapText="1"/>
    </xf>
    <xf numFmtId="43" fontId="8" fillId="0" borderId="7" xfId="0" applyNumberFormat="1" applyFont="1" applyBorder="1" applyAlignment="1">
      <alignment horizontal="center" vertical="center" wrapText="1"/>
    </xf>
    <xf numFmtId="165" fontId="9" fillId="0" borderId="7" xfId="2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center" vertical="center" wrapText="1"/>
    </xf>
    <xf numFmtId="166" fontId="8" fillId="0" borderId="7" xfId="1" applyNumberFormat="1" applyFont="1" applyFill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right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165" fontId="15" fillId="0" borderId="8" xfId="2" applyNumberFormat="1" applyFont="1" applyFill="1" applyBorder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169" fontId="8" fillId="0" borderId="5" xfId="0" applyNumberFormat="1" applyFont="1" applyBorder="1" applyAlignment="1">
      <alignment horizontal="right" vertical="center" wrapText="1"/>
    </xf>
    <xf numFmtId="165" fontId="11" fillId="0" borderId="6" xfId="2" applyNumberFormat="1" applyFont="1" applyFill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172" fontId="8" fillId="0" borderId="1" xfId="0" applyNumberFormat="1" applyFont="1" applyBorder="1" applyAlignment="1">
      <alignment horizontal="right" vertical="center" wrapText="1"/>
    </xf>
    <xf numFmtId="165" fontId="11" fillId="0" borderId="5" xfId="2" applyNumberFormat="1" applyFont="1" applyFill="1" applyBorder="1" applyAlignment="1">
      <alignment horizontal="right" vertical="center" wrapText="1"/>
    </xf>
    <xf numFmtId="165" fontId="9" fillId="0" borderId="1" xfId="2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7" xfId="1" applyNumberFormat="1" applyFont="1" applyFill="1" applyBorder="1" applyAlignment="1">
      <alignment horizontal="right" vertical="center" readingOrder="1"/>
    </xf>
    <xf numFmtId="3" fontId="8" fillId="0" borderId="7" xfId="1" applyNumberFormat="1" applyFont="1" applyFill="1" applyBorder="1" applyAlignment="1">
      <alignment horizontal="right" vertical="center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ECE4-0EE6-4A3D-8A5E-B44BEBAE43AD}">
  <dimension ref="A1:O1"/>
  <sheetViews>
    <sheetView tabSelected="1" workbookViewId="0">
      <selection sqref="A1:O1"/>
    </sheetView>
  </sheetViews>
  <sheetFormatPr defaultRowHeight="15" x14ac:dyDescent="0.25"/>
  <sheetData>
    <row r="1" spans="1:15" ht="18.75" x14ac:dyDescent="0.3">
      <c r="A1" s="221" t="s">
        <v>251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</sheetData>
  <mergeCells count="1">
    <mergeCell ref="A1:O1"/>
  </mergeCells>
  <printOptions horizontalCentered="1" vertic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1917-3289-4AA9-849A-F9CE4B618779}">
  <dimension ref="A1:O1"/>
  <sheetViews>
    <sheetView workbookViewId="0">
      <selection sqref="A1:O1"/>
    </sheetView>
  </sheetViews>
  <sheetFormatPr defaultRowHeight="15" x14ac:dyDescent="0.25"/>
  <sheetData>
    <row r="1" spans="1:15" ht="18.75" x14ac:dyDescent="0.3">
      <c r="A1" s="221" t="s">
        <v>59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</sheetData>
  <mergeCells count="1">
    <mergeCell ref="A1:O1"/>
  </mergeCells>
  <printOptions horizontalCentered="1" verticalCentered="1"/>
  <pageMargins left="0" right="0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B76D2-C3EC-4ED4-8D32-F768EDF3A91F}">
  <dimension ref="A1:AI64"/>
  <sheetViews>
    <sheetView topLeftCell="L1" zoomScale="120" zoomScaleNormal="120" workbookViewId="0">
      <pane ySplit="3" topLeftCell="A4" activePane="bottomLeft" state="frozen"/>
      <selection pane="bottomLeft" activeCell="AG8" sqref="AG8:AH10"/>
    </sheetView>
  </sheetViews>
  <sheetFormatPr defaultRowHeight="15" x14ac:dyDescent="0.25"/>
  <cols>
    <col min="1" max="1" width="56.140625" style="47" bestFit="1" customWidth="1"/>
    <col min="2" max="2" width="6.28515625" style="47" customWidth="1"/>
    <col min="3" max="4" width="6.5703125" style="47" customWidth="1"/>
    <col min="5" max="5" width="6.28515625" style="47" customWidth="1"/>
    <col min="6" max="6" width="6.5703125" style="47" customWidth="1"/>
    <col min="7" max="7" width="6.28515625" style="47" customWidth="1"/>
    <col min="8" max="10" width="6.5703125" style="47" customWidth="1"/>
    <col min="11" max="11" width="6.28515625" style="47" customWidth="1"/>
    <col min="12" max="12" width="6.5703125" style="47" customWidth="1"/>
    <col min="13" max="14" width="6.28515625" style="47" customWidth="1"/>
    <col min="15" max="15" width="6.5703125" style="8" customWidth="1"/>
    <col min="16" max="16" width="6.28515625" style="8" customWidth="1"/>
    <col min="17" max="17" width="6.5703125" style="8" customWidth="1"/>
    <col min="18" max="18" width="7.42578125" style="8" customWidth="1"/>
    <col min="19" max="19" width="6.85546875" style="8" customWidth="1"/>
    <col min="20" max="20" width="7.85546875" style="8" customWidth="1"/>
    <col min="21" max="21" width="7.5703125" style="8" customWidth="1"/>
    <col min="22" max="22" width="7.28515625" style="8" customWidth="1"/>
    <col min="23" max="23" width="8.28515625" style="8" customWidth="1"/>
    <col min="24" max="24" width="8.42578125" customWidth="1"/>
    <col min="25" max="25" width="8.140625" customWidth="1"/>
    <col min="26" max="27" width="8.7109375" customWidth="1"/>
    <col min="28" max="28" width="8.42578125" customWidth="1"/>
    <col min="29" max="29" width="7.7109375" customWidth="1"/>
    <col min="30" max="30" width="6.5703125" customWidth="1"/>
    <col min="31" max="34" width="7.7109375" customWidth="1"/>
    <col min="35" max="35" width="28" style="8" customWidth="1"/>
  </cols>
  <sheetData>
    <row r="1" spans="1:35" s="6" customFormat="1" ht="18.75" x14ac:dyDescent="0.25">
      <c r="A1" s="162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9"/>
      <c r="P1" s="19"/>
      <c r="Q1" s="19"/>
      <c r="R1" s="19"/>
      <c r="S1" s="19"/>
      <c r="T1" s="19"/>
      <c r="U1" s="19"/>
      <c r="V1" s="19"/>
      <c r="W1" s="19"/>
      <c r="X1" s="2"/>
      <c r="Y1" s="3"/>
      <c r="Z1" s="3"/>
      <c r="AA1" s="3"/>
      <c r="AB1" s="3"/>
      <c r="AC1" s="4"/>
      <c r="AD1" s="3"/>
      <c r="AE1" s="3"/>
      <c r="AF1" s="3"/>
      <c r="AG1" s="3"/>
      <c r="AH1" s="3"/>
      <c r="AI1" s="5"/>
    </row>
    <row r="2" spans="1:35" ht="5.0999999999999996" customHeight="1" thickBot="1" x14ac:dyDescent="0.3">
      <c r="V2"/>
      <c r="W2"/>
      <c r="AA2" s="8"/>
      <c r="AI2"/>
    </row>
    <row r="3" spans="1:35" s="10" customFormat="1" ht="15" customHeight="1" thickBot="1" x14ac:dyDescent="0.3">
      <c r="A3" s="48" t="s">
        <v>0</v>
      </c>
      <c r="B3" s="54">
        <v>1993</v>
      </c>
      <c r="C3" s="54">
        <v>1994</v>
      </c>
      <c r="D3" s="54">
        <v>1995</v>
      </c>
      <c r="E3" s="54">
        <v>1996</v>
      </c>
      <c r="F3" s="54">
        <v>1997</v>
      </c>
      <c r="G3" s="54">
        <v>1998</v>
      </c>
      <c r="H3" s="54">
        <v>1999</v>
      </c>
      <c r="I3" s="54">
        <v>2000</v>
      </c>
      <c r="J3" s="54">
        <v>2001</v>
      </c>
      <c r="K3" s="54">
        <v>2002</v>
      </c>
      <c r="L3" s="54">
        <v>2003</v>
      </c>
      <c r="M3" s="54">
        <v>2004</v>
      </c>
      <c r="N3" s="54">
        <v>2005</v>
      </c>
      <c r="O3" s="9">
        <v>2006</v>
      </c>
      <c r="P3" s="9">
        <v>2007</v>
      </c>
      <c r="Q3" s="9">
        <v>2008</v>
      </c>
      <c r="R3" s="9">
        <v>2009</v>
      </c>
      <c r="S3" s="9">
        <v>2010</v>
      </c>
      <c r="T3" s="9">
        <v>2011</v>
      </c>
      <c r="U3" s="9">
        <v>2012</v>
      </c>
      <c r="V3" s="9">
        <v>2013</v>
      </c>
      <c r="W3" s="9">
        <v>2014</v>
      </c>
      <c r="X3" s="9">
        <v>2015</v>
      </c>
      <c r="Y3" s="9">
        <v>2016</v>
      </c>
      <c r="Z3" s="9">
        <v>2017</v>
      </c>
      <c r="AA3" s="9">
        <v>2018</v>
      </c>
      <c r="AB3" s="9">
        <v>2019</v>
      </c>
      <c r="AC3" s="9">
        <v>2020</v>
      </c>
      <c r="AD3" s="9">
        <v>2021</v>
      </c>
      <c r="AE3" s="9">
        <v>2022</v>
      </c>
      <c r="AF3" s="9">
        <v>2023</v>
      </c>
      <c r="AG3" s="9">
        <v>2024</v>
      </c>
      <c r="AH3" s="9">
        <v>2025</v>
      </c>
      <c r="AI3" s="9" t="s">
        <v>246</v>
      </c>
    </row>
    <row r="4" spans="1:35" s="6" customFormat="1" ht="15" customHeight="1" thickBot="1" x14ac:dyDescent="0.3">
      <c r="A4" s="223" t="s">
        <v>33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</row>
    <row r="5" spans="1:35" s="6" customFormat="1" ht="15" customHeight="1" x14ac:dyDescent="0.25">
      <c r="A5" s="50" t="s">
        <v>38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0"/>
      <c r="P5" s="130"/>
      <c r="Q5" s="130"/>
      <c r="R5" s="130"/>
      <c r="S5" s="130"/>
      <c r="T5" s="130"/>
      <c r="U5" s="130"/>
      <c r="V5" s="130"/>
      <c r="W5" s="131">
        <v>2100</v>
      </c>
      <c r="X5" s="131">
        <v>2050</v>
      </c>
      <c r="Y5" s="41">
        <v>2255</v>
      </c>
      <c r="Z5" s="41">
        <v>2262</v>
      </c>
      <c r="AA5" s="41">
        <v>2242</v>
      </c>
      <c r="AB5" s="41">
        <v>2134</v>
      </c>
      <c r="AC5" s="41">
        <v>2079</v>
      </c>
      <c r="AD5" s="41">
        <v>1890</v>
      </c>
      <c r="AE5" s="41">
        <v>1867</v>
      </c>
      <c r="AF5" s="41">
        <v>1990</v>
      </c>
      <c r="AG5" s="41">
        <v>2041</v>
      </c>
      <c r="AH5" s="41">
        <f>180+155+189+163+172+148+186+170+171+185+156+167</f>
        <v>2042</v>
      </c>
      <c r="AI5" s="140">
        <f>(AH5-W5)/W5</f>
        <v>-2.7619047619047619E-2</v>
      </c>
    </row>
    <row r="6" spans="1:35" s="6" customFormat="1" ht="15" customHeight="1" x14ac:dyDescent="0.25">
      <c r="A6" s="50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0"/>
      <c r="P6" s="130"/>
      <c r="Q6" s="130"/>
      <c r="R6" s="130"/>
      <c r="S6" s="130"/>
      <c r="T6" s="130"/>
      <c r="U6" s="130"/>
      <c r="V6" s="130"/>
      <c r="W6" s="131">
        <v>6126853</v>
      </c>
      <c r="X6" s="131">
        <v>7285825</v>
      </c>
      <c r="Y6" s="41">
        <v>9603007</v>
      </c>
      <c r="Z6" s="41">
        <v>7727254</v>
      </c>
      <c r="AA6" s="41">
        <v>7141584</v>
      </c>
      <c r="AB6" s="41">
        <v>5729103</v>
      </c>
      <c r="AC6" s="41">
        <v>3786382</v>
      </c>
      <c r="AD6" s="41">
        <v>3819178</v>
      </c>
      <c r="AE6" s="41">
        <v>4120030</v>
      </c>
      <c r="AF6" s="41">
        <v>4419077</v>
      </c>
      <c r="AG6" s="41">
        <v>4522484</v>
      </c>
      <c r="AH6" s="41">
        <f>402984+351861+491967+465528+512081+449542+488545+490242+470244+441533+469020+493499</f>
        <v>5527046</v>
      </c>
      <c r="AI6" s="140">
        <f t="shared" ref="AI6:AI7" si="0">(AH6-W6)/W6</f>
        <v>-9.789805631047456E-2</v>
      </c>
    </row>
    <row r="7" spans="1:35" s="6" customFormat="1" ht="15" customHeight="1" x14ac:dyDescent="0.25">
      <c r="A7" s="50" t="s">
        <v>31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0"/>
      <c r="P7" s="130"/>
      <c r="Q7" s="130"/>
      <c r="R7" s="130"/>
      <c r="S7" s="130"/>
      <c r="T7" s="130"/>
      <c r="U7" s="130"/>
      <c r="V7" s="130"/>
      <c r="W7" s="131">
        <v>10097</v>
      </c>
      <c r="X7" s="131">
        <v>0</v>
      </c>
      <c r="Y7" s="41">
        <v>0</v>
      </c>
      <c r="Z7" s="41">
        <v>65931</v>
      </c>
      <c r="AA7" s="41">
        <v>580288</v>
      </c>
      <c r="AB7" s="41">
        <v>843984</v>
      </c>
      <c r="AC7" s="25">
        <v>825960</v>
      </c>
      <c r="AD7" s="41">
        <v>879286</v>
      </c>
      <c r="AE7" s="41">
        <v>968730</v>
      </c>
      <c r="AF7" s="41">
        <v>985848</v>
      </c>
      <c r="AG7" s="41">
        <v>890012</v>
      </c>
      <c r="AH7" s="41">
        <f>65495+59711+66032+59828+74233+66622+87789+78451+90327+82712+65812+91916</f>
        <v>888928</v>
      </c>
      <c r="AI7" s="141">
        <f t="shared" si="0"/>
        <v>87.038823412894914</v>
      </c>
    </row>
    <row r="8" spans="1:35" s="6" customFormat="1" ht="15" customHeight="1" x14ac:dyDescent="0.25">
      <c r="A8" s="50" t="s">
        <v>164</v>
      </c>
      <c r="B8" s="191">
        <v>5641172</v>
      </c>
      <c r="C8" s="191">
        <v>5593650</v>
      </c>
      <c r="D8" s="191">
        <v>6367753</v>
      </c>
      <c r="E8" s="191">
        <v>5859381</v>
      </c>
      <c r="F8" s="191">
        <v>5574002</v>
      </c>
      <c r="G8" s="191">
        <v>5283041</v>
      </c>
      <c r="H8" s="191">
        <v>5247608</v>
      </c>
      <c r="I8" s="191">
        <v>4539528</v>
      </c>
      <c r="J8" s="191">
        <v>5134143</v>
      </c>
      <c r="K8" s="191">
        <v>4712752</v>
      </c>
      <c r="L8" s="191">
        <v>4294443</v>
      </c>
      <c r="M8" s="191">
        <v>4333851</v>
      </c>
      <c r="N8" s="191">
        <v>3722168</v>
      </c>
      <c r="O8" s="131">
        <v>7268000</v>
      </c>
      <c r="P8" s="131">
        <v>4325971</v>
      </c>
      <c r="Q8" s="131">
        <v>4945554</v>
      </c>
      <c r="R8" s="131">
        <v>5652676</v>
      </c>
      <c r="S8" s="131">
        <v>5504774</v>
      </c>
      <c r="T8" s="131">
        <v>5878965</v>
      </c>
      <c r="U8" s="131">
        <v>6375452</v>
      </c>
      <c r="V8" s="131">
        <v>7230947</v>
      </c>
      <c r="W8" s="131">
        <v>7299944</v>
      </c>
      <c r="X8" s="131">
        <v>7134250</v>
      </c>
      <c r="Y8" s="41">
        <v>7730581</v>
      </c>
      <c r="Z8" s="41">
        <v>7130895</v>
      </c>
      <c r="AA8" s="41">
        <v>7054693</v>
      </c>
      <c r="AB8" s="41">
        <v>5696800</v>
      </c>
      <c r="AC8" s="41">
        <v>3727676</v>
      </c>
      <c r="AD8" s="41">
        <v>3784840</v>
      </c>
      <c r="AE8" s="41">
        <v>4558986</v>
      </c>
      <c r="AF8" s="41">
        <v>4415069</v>
      </c>
      <c r="AG8" s="41">
        <v>4522487</v>
      </c>
      <c r="AH8" s="25">
        <v>5563106</v>
      </c>
      <c r="AI8" s="140">
        <f>(AH8-B8)/B8</f>
        <v>-1.3838613678150568E-2</v>
      </c>
    </row>
    <row r="9" spans="1:35" s="6" customFormat="1" ht="15" customHeight="1" x14ac:dyDescent="0.25">
      <c r="A9" s="50" t="s">
        <v>163</v>
      </c>
      <c r="B9" s="191">
        <v>229913</v>
      </c>
      <c r="C9" s="191">
        <v>193731</v>
      </c>
      <c r="D9" s="191">
        <v>306168</v>
      </c>
      <c r="E9" s="191">
        <v>284623</v>
      </c>
      <c r="F9" s="191">
        <v>275496</v>
      </c>
      <c r="G9" s="191">
        <v>278779</v>
      </c>
      <c r="H9" s="191">
        <v>307384</v>
      </c>
      <c r="I9" s="191">
        <v>294770</v>
      </c>
      <c r="J9" s="191">
        <v>328882</v>
      </c>
      <c r="K9" s="191">
        <v>382523</v>
      </c>
      <c r="L9" s="191">
        <v>472449</v>
      </c>
      <c r="M9" s="191">
        <v>726567</v>
      </c>
      <c r="N9" s="191">
        <v>753338</v>
      </c>
      <c r="O9" s="131">
        <v>1433609</v>
      </c>
      <c r="P9" s="131">
        <v>904465</v>
      </c>
      <c r="Q9" s="131">
        <v>819928</v>
      </c>
      <c r="R9" s="131">
        <v>668984</v>
      </c>
      <c r="S9" s="131">
        <v>820085</v>
      </c>
      <c r="T9" s="131">
        <v>798082</v>
      </c>
      <c r="U9" s="131">
        <v>849597</v>
      </c>
      <c r="V9" s="131">
        <v>1037501</v>
      </c>
      <c r="W9" s="131">
        <v>981129</v>
      </c>
      <c r="X9" s="131">
        <v>1082466</v>
      </c>
      <c r="Y9" s="41">
        <v>1035992</v>
      </c>
      <c r="Z9" s="41">
        <v>1129588</v>
      </c>
      <c r="AA9" s="41">
        <v>929859</v>
      </c>
      <c r="AB9" s="41">
        <v>827209</v>
      </c>
      <c r="AC9" s="41">
        <v>803257</v>
      </c>
      <c r="AD9" s="41">
        <v>861573</v>
      </c>
      <c r="AE9" s="41">
        <v>960492</v>
      </c>
      <c r="AF9" s="41">
        <v>982178</v>
      </c>
      <c r="AG9" s="41">
        <v>890020</v>
      </c>
      <c r="AH9" s="25">
        <v>883560</v>
      </c>
      <c r="AI9" s="141">
        <f>(AH9-B9)/B9</f>
        <v>2.8430188810550079</v>
      </c>
    </row>
    <row r="10" spans="1:35" s="6" customFormat="1" ht="15" customHeight="1" x14ac:dyDescent="0.25">
      <c r="A10" s="50" t="s">
        <v>24</v>
      </c>
      <c r="B10" s="189"/>
      <c r="C10" s="190">
        <v>237533</v>
      </c>
      <c r="D10" s="190">
        <v>229968</v>
      </c>
      <c r="E10" s="190">
        <v>163070</v>
      </c>
      <c r="F10" s="190">
        <v>160046</v>
      </c>
      <c r="G10" s="190">
        <v>144019</v>
      </c>
      <c r="H10" s="190">
        <v>125562</v>
      </c>
      <c r="I10" s="190">
        <v>140492</v>
      </c>
      <c r="J10" s="190">
        <v>162798</v>
      </c>
      <c r="K10" s="190">
        <v>173326</v>
      </c>
      <c r="L10" s="190">
        <v>226920</v>
      </c>
      <c r="M10" s="190">
        <v>432857</v>
      </c>
      <c r="N10" s="190">
        <v>329901</v>
      </c>
      <c r="O10" s="130">
        <v>445689</v>
      </c>
      <c r="P10" s="130">
        <v>120668</v>
      </c>
      <c r="Q10" s="130">
        <v>151971</v>
      </c>
      <c r="R10" s="130">
        <v>172381</v>
      </c>
      <c r="S10" s="130">
        <v>146735</v>
      </c>
      <c r="T10" s="130">
        <v>148262</v>
      </c>
      <c r="U10" s="130">
        <v>140556</v>
      </c>
      <c r="V10" s="130">
        <v>7608</v>
      </c>
      <c r="W10" s="130">
        <v>7264</v>
      </c>
      <c r="X10" s="130">
        <v>5918</v>
      </c>
      <c r="Y10" s="25">
        <v>3824</v>
      </c>
      <c r="Z10" s="25">
        <v>2920</v>
      </c>
      <c r="AA10" s="25">
        <v>3315</v>
      </c>
      <c r="AB10" s="25">
        <v>5220</v>
      </c>
      <c r="AC10" s="25">
        <v>23317</v>
      </c>
      <c r="AD10" s="25">
        <v>2495</v>
      </c>
      <c r="AE10" s="25">
        <v>2296</v>
      </c>
      <c r="AF10" s="25">
        <v>1922</v>
      </c>
      <c r="AG10" s="25">
        <v>6342</v>
      </c>
      <c r="AH10" s="25">
        <v>11227</v>
      </c>
      <c r="AI10" s="140">
        <f>(AH10-C10)/C10</f>
        <v>-0.95273498840161153</v>
      </c>
    </row>
    <row r="11" spans="1:35" s="6" customFormat="1" ht="15" customHeight="1" x14ac:dyDescent="0.25">
      <c r="A11" s="50" t="s">
        <v>77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0"/>
      <c r="P11" s="130"/>
      <c r="Q11" s="130">
        <v>95244</v>
      </c>
      <c r="R11" s="130">
        <v>100278</v>
      </c>
      <c r="S11" s="130">
        <v>95047</v>
      </c>
      <c r="T11" s="192">
        <v>67022</v>
      </c>
      <c r="U11" s="193">
        <v>86194</v>
      </c>
      <c r="V11" s="193">
        <v>92983</v>
      </c>
      <c r="W11" s="130">
        <v>91761</v>
      </c>
      <c r="X11" s="130">
        <v>111921</v>
      </c>
      <c r="Y11" s="25">
        <v>111273</v>
      </c>
      <c r="Z11" s="25">
        <v>103467</v>
      </c>
      <c r="AA11" s="25">
        <v>68247</v>
      </c>
      <c r="AB11" s="25">
        <v>61780</v>
      </c>
      <c r="AC11" s="25">
        <v>12941</v>
      </c>
      <c r="AD11" s="25">
        <v>25072</v>
      </c>
      <c r="AE11" s="25">
        <v>26604</v>
      </c>
      <c r="AF11" s="25">
        <v>25132</v>
      </c>
      <c r="AG11" s="25">
        <v>20127</v>
      </c>
      <c r="AH11" s="25">
        <v>22627</v>
      </c>
      <c r="AI11" s="140">
        <f>(AH11-Q11)/Q11</f>
        <v>-0.76243122926378559</v>
      </c>
    </row>
    <row r="12" spans="1:35" s="6" customFormat="1" ht="15" customHeight="1" thickBot="1" x14ac:dyDescent="0.3">
      <c r="A12" s="50" t="s">
        <v>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0"/>
      <c r="P12" s="130">
        <v>705</v>
      </c>
      <c r="Q12" s="130">
        <v>2694</v>
      </c>
      <c r="R12" s="130">
        <v>21447</v>
      </c>
      <c r="S12" s="130">
        <v>7123</v>
      </c>
      <c r="T12" s="194">
        <v>9148</v>
      </c>
      <c r="U12" s="194">
        <v>5762</v>
      </c>
      <c r="V12" s="194">
        <v>6433</v>
      </c>
      <c r="W12" s="194">
        <v>5276</v>
      </c>
      <c r="X12" s="130">
        <v>6552</v>
      </c>
      <c r="Y12" s="25">
        <v>2324</v>
      </c>
      <c r="Z12" s="25">
        <v>5987</v>
      </c>
      <c r="AA12" s="25">
        <v>4897</v>
      </c>
      <c r="AB12" s="25">
        <v>8189</v>
      </c>
      <c r="AC12" s="26">
        <v>0</v>
      </c>
      <c r="AD12" s="26">
        <v>0</v>
      </c>
      <c r="AE12" s="26">
        <v>318</v>
      </c>
      <c r="AF12" s="26">
        <v>478</v>
      </c>
      <c r="AG12" s="26">
        <v>0</v>
      </c>
      <c r="AH12" s="26">
        <v>0</v>
      </c>
      <c r="AI12" s="140">
        <f>(AH12-P12)/P12</f>
        <v>-1</v>
      </c>
    </row>
    <row r="13" spans="1:35" s="6" customFormat="1" ht="15" customHeight="1" x14ac:dyDescent="0.25">
      <c r="A13" s="195" t="s">
        <v>2</v>
      </c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32"/>
      <c r="P13" s="132"/>
      <c r="Q13" s="132"/>
      <c r="R13" s="132">
        <v>591590</v>
      </c>
      <c r="S13" s="132">
        <v>599443</v>
      </c>
      <c r="T13" s="196">
        <v>585220</v>
      </c>
      <c r="U13" s="196">
        <v>634969</v>
      </c>
      <c r="V13" s="196">
        <v>758058</v>
      </c>
      <c r="W13" s="196">
        <v>764527</v>
      </c>
      <c r="X13" s="132">
        <v>798610</v>
      </c>
      <c r="Y13" s="27">
        <v>855631</v>
      </c>
      <c r="Z13" s="27">
        <v>897777</v>
      </c>
      <c r="AA13" s="27">
        <v>874246</v>
      </c>
      <c r="AB13" s="27">
        <v>734081</v>
      </c>
      <c r="AC13" s="27">
        <v>466527</v>
      </c>
      <c r="AD13" s="27">
        <v>480843</v>
      </c>
      <c r="AE13" s="27">
        <v>561202</v>
      </c>
      <c r="AF13" s="27">
        <v>550211.94200000004</v>
      </c>
      <c r="AG13" s="27">
        <v>556603.19400000002</v>
      </c>
      <c r="AH13" s="27">
        <v>699389</v>
      </c>
      <c r="AI13" s="172">
        <f>(AH13-R13)/R13</f>
        <v>0.18221910444733683</v>
      </c>
    </row>
    <row r="14" spans="1:35" s="6" customFormat="1" ht="15" customHeight="1" thickBot="1" x14ac:dyDescent="0.3">
      <c r="A14" s="50" t="s">
        <v>3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130"/>
      <c r="P14" s="130"/>
      <c r="Q14" s="130"/>
      <c r="R14" s="130">
        <v>403411</v>
      </c>
      <c r="S14" s="130">
        <v>349668</v>
      </c>
      <c r="T14" s="131">
        <f>T15-T13</f>
        <v>449029</v>
      </c>
      <c r="U14" s="131">
        <f t="shared" ref="U14:W14" si="1">U15-U13</f>
        <v>406787</v>
      </c>
      <c r="V14" s="131">
        <f t="shared" si="1"/>
        <v>359276</v>
      </c>
      <c r="W14" s="131">
        <f t="shared" si="1"/>
        <v>445886</v>
      </c>
      <c r="X14" s="130">
        <v>331686</v>
      </c>
      <c r="Y14" s="25">
        <v>291588</v>
      </c>
      <c r="Z14" s="25">
        <v>407255</v>
      </c>
      <c r="AA14" s="25">
        <v>431508</v>
      </c>
      <c r="AB14" s="25">
        <v>495000</v>
      </c>
      <c r="AC14" s="25">
        <v>306346</v>
      </c>
      <c r="AD14" s="25">
        <v>133611</v>
      </c>
      <c r="AE14" s="25">
        <v>146342</v>
      </c>
      <c r="AF14" s="25">
        <v>277475.5</v>
      </c>
      <c r="AG14" s="25">
        <v>200133.95800000001</v>
      </c>
      <c r="AH14" s="25">
        <v>244853</v>
      </c>
      <c r="AI14" s="143">
        <f>(AH14-R14)/R14</f>
        <v>-0.39304332306258383</v>
      </c>
    </row>
    <row r="15" spans="1:35" s="10" customFormat="1" ht="13.5" thickBot="1" x14ac:dyDescent="0.3">
      <c r="A15" s="51" t="s">
        <v>4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133"/>
      <c r="P15" s="133"/>
      <c r="Q15" s="133"/>
      <c r="R15" s="133">
        <f t="shared" ref="R15:S15" si="2">SUM(R13:R14)</f>
        <v>995001</v>
      </c>
      <c r="S15" s="133">
        <f t="shared" si="2"/>
        <v>949111</v>
      </c>
      <c r="T15" s="197">
        <v>1034249</v>
      </c>
      <c r="U15" s="197">
        <v>1041756</v>
      </c>
      <c r="V15" s="197">
        <v>1117334</v>
      </c>
      <c r="W15" s="197">
        <v>1210413</v>
      </c>
      <c r="X15" s="133">
        <f>SUM(X13:X14)</f>
        <v>1130296</v>
      </c>
      <c r="Y15" s="133">
        <f t="shared" ref="Y15:Z15" si="3">SUM(Y13:Y14)</f>
        <v>1147219</v>
      </c>
      <c r="Z15" s="133">
        <f t="shared" si="3"/>
        <v>1305032</v>
      </c>
      <c r="AA15" s="133">
        <f t="shared" ref="AA15" si="4">SUM(AA13:AA14)</f>
        <v>1305754</v>
      </c>
      <c r="AB15" s="133">
        <f t="shared" ref="AB15" si="5">SUM(AB13:AB14)</f>
        <v>1229081</v>
      </c>
      <c r="AC15" s="133">
        <f t="shared" ref="AC15" si="6">SUM(AC13:AC14)</f>
        <v>772873</v>
      </c>
      <c r="AD15" s="133">
        <f t="shared" ref="AD15" si="7">SUM(AD13:AD14)</f>
        <v>614454</v>
      </c>
      <c r="AE15" s="133">
        <f t="shared" ref="AE15" si="8">SUM(AE13:AE14)</f>
        <v>707544</v>
      </c>
      <c r="AF15" s="133">
        <f t="shared" ref="AF15" si="9">SUM(AF13:AF14)</f>
        <v>827687.44200000004</v>
      </c>
      <c r="AG15" s="133">
        <f t="shared" ref="AG15:AH15" si="10">SUM(AG13:AG14)</f>
        <v>756737.152</v>
      </c>
      <c r="AH15" s="133">
        <f t="shared" si="10"/>
        <v>944242</v>
      </c>
      <c r="AI15" s="142">
        <f>(AG15-R15)/R15</f>
        <v>-0.23946091310460996</v>
      </c>
    </row>
    <row r="16" spans="1:35" s="6" customFormat="1" ht="15" customHeight="1" thickBot="1" x14ac:dyDescent="0.3">
      <c r="A16" s="222" t="s">
        <v>120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s="6" customFormat="1" ht="15" customHeight="1" x14ac:dyDescent="0.25">
      <c r="A17" s="59" t="s">
        <v>121</v>
      </c>
      <c r="B17" s="134">
        <v>12000</v>
      </c>
      <c r="C17" s="134">
        <v>12000</v>
      </c>
      <c r="D17" s="134">
        <v>12000</v>
      </c>
      <c r="E17" s="134">
        <v>12000</v>
      </c>
      <c r="F17" s="134">
        <v>12000</v>
      </c>
      <c r="G17" s="134">
        <v>12000</v>
      </c>
      <c r="H17" s="134">
        <v>12000</v>
      </c>
      <c r="I17" s="134">
        <v>12000</v>
      </c>
      <c r="J17" s="134">
        <v>12000</v>
      </c>
      <c r="K17" s="134">
        <v>12000</v>
      </c>
      <c r="L17" s="134">
        <v>12000</v>
      </c>
      <c r="M17" s="134">
        <v>12000</v>
      </c>
      <c r="N17" s="134">
        <v>12000</v>
      </c>
      <c r="O17" s="134">
        <v>12000</v>
      </c>
      <c r="P17" s="134">
        <v>12000</v>
      </c>
      <c r="Q17" s="134">
        <v>12000</v>
      </c>
      <c r="R17" s="134">
        <v>12000</v>
      </c>
      <c r="S17" s="134">
        <v>12000</v>
      </c>
      <c r="T17" s="134">
        <v>12000</v>
      </c>
      <c r="U17" s="134">
        <v>12000</v>
      </c>
      <c r="V17" s="134">
        <v>12000</v>
      </c>
      <c r="W17" s="134">
        <v>12000</v>
      </c>
      <c r="X17" s="134">
        <v>12000</v>
      </c>
      <c r="Y17" s="134">
        <v>12000</v>
      </c>
      <c r="Z17" s="134">
        <v>12000</v>
      </c>
      <c r="AA17" s="134">
        <v>12000</v>
      </c>
      <c r="AB17" s="134">
        <v>12000</v>
      </c>
      <c r="AC17" s="134">
        <v>12000</v>
      </c>
      <c r="AD17" s="134">
        <v>12000</v>
      </c>
      <c r="AE17" s="134">
        <v>12000</v>
      </c>
      <c r="AF17" s="134">
        <v>12000</v>
      </c>
      <c r="AG17" s="134">
        <v>12000</v>
      </c>
      <c r="AH17" s="134">
        <v>12000</v>
      </c>
      <c r="AI17" s="198">
        <f>(AG17-W17)/W17</f>
        <v>0</v>
      </c>
    </row>
    <row r="18" spans="1:35" s="6" customFormat="1" ht="15" customHeight="1" thickBot="1" x14ac:dyDescent="0.3">
      <c r="A18" s="71" t="s">
        <v>122</v>
      </c>
      <c r="B18" s="20">
        <v>142</v>
      </c>
      <c r="C18" s="20">
        <v>142</v>
      </c>
      <c r="D18" s="20">
        <v>142</v>
      </c>
      <c r="E18" s="20">
        <v>142</v>
      </c>
      <c r="F18" s="20">
        <v>142</v>
      </c>
      <c r="G18" s="20">
        <v>142</v>
      </c>
      <c r="H18" s="20">
        <v>142</v>
      </c>
      <c r="I18" s="20">
        <v>142</v>
      </c>
      <c r="J18" s="20">
        <v>142</v>
      </c>
      <c r="K18" s="20">
        <v>142</v>
      </c>
      <c r="L18" s="20">
        <v>142</v>
      </c>
      <c r="M18" s="20">
        <v>142</v>
      </c>
      <c r="N18" s="20">
        <v>142</v>
      </c>
      <c r="O18" s="20">
        <v>142</v>
      </c>
      <c r="P18" s="20">
        <v>142</v>
      </c>
      <c r="Q18" s="20">
        <v>142</v>
      </c>
      <c r="R18" s="20">
        <v>142</v>
      </c>
      <c r="S18" s="20">
        <v>142</v>
      </c>
      <c r="T18" s="20">
        <v>142</v>
      </c>
      <c r="U18" s="20">
        <v>142</v>
      </c>
      <c r="V18" s="20">
        <v>142</v>
      </c>
      <c r="W18" s="20">
        <v>142</v>
      </c>
      <c r="X18" s="20">
        <v>142</v>
      </c>
      <c r="Y18" s="20">
        <v>142</v>
      </c>
      <c r="Z18" s="20">
        <v>142</v>
      </c>
      <c r="AA18" s="20">
        <v>142</v>
      </c>
      <c r="AB18" s="20">
        <v>142</v>
      </c>
      <c r="AC18" s="20">
        <v>142</v>
      </c>
      <c r="AD18" s="20">
        <v>142</v>
      </c>
      <c r="AE18" s="20">
        <v>142</v>
      </c>
      <c r="AF18" s="20">
        <v>142</v>
      </c>
      <c r="AG18" s="20">
        <v>142</v>
      </c>
      <c r="AH18" s="20">
        <v>142</v>
      </c>
      <c r="AI18" s="199">
        <f t="shared" ref="AI18" si="11">(AG18-W18)/W18</f>
        <v>0</v>
      </c>
    </row>
    <row r="19" spans="1:35" s="6" customFormat="1" ht="15" customHeight="1" thickBot="1" x14ac:dyDescent="0.3">
      <c r="A19" s="223" t="s">
        <v>5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</row>
    <row r="20" spans="1:35" s="6" customFormat="1" ht="15" customHeight="1" thickBot="1" x14ac:dyDescent="0.3">
      <c r="A20" s="222" t="s">
        <v>39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s="6" customFormat="1" ht="15" customHeight="1" x14ac:dyDescent="0.25">
      <c r="A21" s="59" t="s">
        <v>32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5">
        <f>W6+W7</f>
        <v>6136950</v>
      </c>
      <c r="X21" s="75">
        <f t="shared" ref="X21:AG21" si="12">X6+X7</f>
        <v>7285825</v>
      </c>
      <c r="Y21" s="75">
        <f t="shared" si="12"/>
        <v>9603007</v>
      </c>
      <c r="Z21" s="75">
        <f t="shared" si="12"/>
        <v>7793185</v>
      </c>
      <c r="AA21" s="75">
        <f t="shared" si="12"/>
        <v>7721872</v>
      </c>
      <c r="AB21" s="75">
        <f t="shared" si="12"/>
        <v>6573087</v>
      </c>
      <c r="AC21" s="75">
        <f t="shared" si="12"/>
        <v>4612342</v>
      </c>
      <c r="AD21" s="75">
        <f t="shared" si="12"/>
        <v>4698464</v>
      </c>
      <c r="AE21" s="75">
        <f t="shared" si="12"/>
        <v>5088760</v>
      </c>
      <c r="AF21" s="75">
        <f t="shared" si="12"/>
        <v>5404925</v>
      </c>
      <c r="AG21" s="75">
        <f t="shared" si="12"/>
        <v>5412496</v>
      </c>
      <c r="AH21" s="75">
        <f t="shared" ref="AH21" si="13">AH6+AH7</f>
        <v>6415974</v>
      </c>
      <c r="AI21" s="219">
        <f>(AH21-W21)/W21</f>
        <v>4.5466233226602794E-2</v>
      </c>
    </row>
    <row r="22" spans="1:35" s="6" customFormat="1" ht="15" customHeight="1" x14ac:dyDescent="0.25">
      <c r="A22" s="71" t="s">
        <v>29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200">
        <f>W21/W5</f>
        <v>2922.3571428571427</v>
      </c>
      <c r="X22" s="200">
        <f t="shared" ref="X22:AG22" si="14">X21/X5</f>
        <v>3554.060975609756</v>
      </c>
      <c r="Y22" s="200">
        <f t="shared" si="14"/>
        <v>4258.5396895787144</v>
      </c>
      <c r="Z22" s="200">
        <f t="shared" si="14"/>
        <v>3445.2630415561448</v>
      </c>
      <c r="AA22" s="200">
        <f t="shared" si="14"/>
        <v>3444.1891168599464</v>
      </c>
      <c r="AB22" s="200">
        <f t="shared" si="14"/>
        <v>3080.1719775070292</v>
      </c>
      <c r="AC22" s="200">
        <f t="shared" si="14"/>
        <v>2218.5387205387206</v>
      </c>
      <c r="AD22" s="200">
        <f t="shared" si="14"/>
        <v>2485.9597883597885</v>
      </c>
      <c r="AE22" s="200">
        <f t="shared" si="14"/>
        <v>2725.6347080878413</v>
      </c>
      <c r="AF22" s="200">
        <f t="shared" si="14"/>
        <v>2716.0427135678392</v>
      </c>
      <c r="AG22" s="200">
        <f t="shared" si="14"/>
        <v>2651.8843704066635</v>
      </c>
      <c r="AH22" s="200">
        <f t="shared" ref="AH22" si="15">AH21/AH5</f>
        <v>3142.0048971596475</v>
      </c>
      <c r="AI22" s="202">
        <f>(AH22-W22)/W22</f>
        <v>7.5161160517074471E-2</v>
      </c>
    </row>
    <row r="23" spans="1:35" s="6" customFormat="1" ht="15" customHeight="1" x14ac:dyDescent="0.25">
      <c r="A23" s="49" t="s">
        <v>34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200">
        <f>W6/W5</f>
        <v>2917.5490476190475</v>
      </c>
      <c r="X23" s="200">
        <f t="shared" ref="X23:AG23" si="16">X6/X5</f>
        <v>3554.060975609756</v>
      </c>
      <c r="Y23" s="200">
        <f t="shared" si="16"/>
        <v>4258.5396895787144</v>
      </c>
      <c r="Z23" s="200">
        <f t="shared" si="16"/>
        <v>3416.1158267020337</v>
      </c>
      <c r="AA23" s="200">
        <f t="shared" si="16"/>
        <v>3185.3630686886709</v>
      </c>
      <c r="AB23" s="200">
        <f t="shared" si="16"/>
        <v>2684.6780693533269</v>
      </c>
      <c r="AC23" s="200">
        <f t="shared" si="16"/>
        <v>1821.2515632515633</v>
      </c>
      <c r="AD23" s="200">
        <f t="shared" si="16"/>
        <v>2020.7291005291006</v>
      </c>
      <c r="AE23" s="200">
        <f t="shared" si="16"/>
        <v>2206.7648634172469</v>
      </c>
      <c r="AF23" s="200">
        <f t="shared" si="16"/>
        <v>2220.6417085427138</v>
      </c>
      <c r="AG23" s="200">
        <f t="shared" si="16"/>
        <v>2215.8177364037238</v>
      </c>
      <c r="AH23" s="200">
        <f t="shared" ref="AH23" si="17">AH6/AH5</f>
        <v>2706.6826640548484</v>
      </c>
      <c r="AI23" s="199">
        <f>(AH23-W23)/W23</f>
        <v>-7.2275180338881681E-2</v>
      </c>
    </row>
    <row r="24" spans="1:35" s="6" customFormat="1" ht="15" customHeight="1" x14ac:dyDescent="0.25">
      <c r="A24" s="49" t="s">
        <v>35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200">
        <f>W7/W5</f>
        <v>4.8080952380952384</v>
      </c>
      <c r="X24" s="201">
        <f t="shared" ref="X24:AG24" si="18">X7/X5</f>
        <v>0</v>
      </c>
      <c r="Y24" s="201">
        <f t="shared" si="18"/>
        <v>0</v>
      </c>
      <c r="Z24" s="200">
        <f t="shared" si="18"/>
        <v>29.147214854111407</v>
      </c>
      <c r="AA24" s="200">
        <f t="shared" si="18"/>
        <v>258.82604817127566</v>
      </c>
      <c r="AB24" s="200">
        <f t="shared" si="18"/>
        <v>395.49390815370197</v>
      </c>
      <c r="AC24" s="200">
        <f t="shared" si="18"/>
        <v>397.2871572871573</v>
      </c>
      <c r="AD24" s="200">
        <f t="shared" si="18"/>
        <v>465.23068783068783</v>
      </c>
      <c r="AE24" s="200">
        <f t="shared" si="18"/>
        <v>518.86984467059449</v>
      </c>
      <c r="AF24" s="200">
        <f t="shared" si="18"/>
        <v>495.40100502512564</v>
      </c>
      <c r="AG24" s="200">
        <f t="shared" si="18"/>
        <v>436.06663400293974</v>
      </c>
      <c r="AH24" s="200">
        <f t="shared" ref="AH24" si="19">AH7/AH5</f>
        <v>435.32223310479924</v>
      </c>
      <c r="AI24" s="202">
        <f>(AH24-W24)/W24</f>
        <v>89.539436418745993</v>
      </c>
    </row>
    <row r="25" spans="1:35" s="6" customFormat="1" ht="15" customHeight="1" thickBot="1" x14ac:dyDescent="0.3">
      <c r="A25" s="49" t="s">
        <v>37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200">
        <f>W15/W5</f>
        <v>576.38714285714286</v>
      </c>
      <c r="X25" s="200">
        <f t="shared" ref="X25:AG25" si="20">X15/X5</f>
        <v>551.3639024390244</v>
      </c>
      <c r="Y25" s="200">
        <f t="shared" si="20"/>
        <v>508.74456762749446</v>
      </c>
      <c r="Z25" s="200">
        <f t="shared" si="20"/>
        <v>576.93722369584441</v>
      </c>
      <c r="AA25" s="200">
        <f t="shared" si="20"/>
        <v>582.40588760035678</v>
      </c>
      <c r="AB25" s="200">
        <f t="shared" si="20"/>
        <v>575.95173383317717</v>
      </c>
      <c r="AC25" s="200">
        <f t="shared" si="20"/>
        <v>371.75228475228477</v>
      </c>
      <c r="AD25" s="200">
        <f t="shared" si="20"/>
        <v>325.10793650793653</v>
      </c>
      <c r="AE25" s="200">
        <f t="shared" si="20"/>
        <v>378.97375468666309</v>
      </c>
      <c r="AF25" s="200">
        <f t="shared" si="20"/>
        <v>415.92333768844225</v>
      </c>
      <c r="AG25" s="200">
        <f t="shared" si="20"/>
        <v>370.76783537481629</v>
      </c>
      <c r="AH25" s="200">
        <f t="shared" ref="AH25" si="21">AH15/AH5</f>
        <v>462.41038197845251</v>
      </c>
      <c r="AI25" s="203">
        <f>(AH25-W25)/W25</f>
        <v>-0.19774341307078638</v>
      </c>
    </row>
    <row r="26" spans="1:35" s="6" customFormat="1" ht="15" customHeight="1" thickBot="1" x14ac:dyDescent="0.3">
      <c r="A26" s="222" t="s">
        <v>41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s="6" customFormat="1" ht="12.75" x14ac:dyDescent="0.25">
      <c r="A27" s="49" t="s">
        <v>40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204">
        <f>W15*W25/W21</f>
        <v>113.6829354560723</v>
      </c>
      <c r="X27" s="204">
        <f t="shared" ref="X27:AG27" si="22">X15*X25/X21</f>
        <v>85.536560852232867</v>
      </c>
      <c r="Y27" s="204">
        <f t="shared" si="22"/>
        <v>60.776945609749795</v>
      </c>
      <c r="Z27" s="204">
        <f t="shared" si="22"/>
        <v>96.612814775247244</v>
      </c>
      <c r="AA27" s="204">
        <f t="shared" si="22"/>
        <v>98.483737797999808</v>
      </c>
      <c r="AB27" s="204">
        <f t="shared" si="22"/>
        <v>107.69541510273868</v>
      </c>
      <c r="AC27" s="204">
        <f t="shared" si="22"/>
        <v>62.293148160598797</v>
      </c>
      <c r="AD27" s="204">
        <f t="shared" si="22"/>
        <v>42.516846360650547</v>
      </c>
      <c r="AE27" s="204">
        <f t="shared" si="22"/>
        <v>52.692720090163483</v>
      </c>
      <c r="AF27" s="204">
        <f t="shared" si="22"/>
        <v>63.692747529234715</v>
      </c>
      <c r="AG27" s="204">
        <f t="shared" si="22"/>
        <v>51.838153006439796</v>
      </c>
      <c r="AH27" s="204">
        <f t="shared" ref="AH27" si="23">AH15*AH25/AH21</f>
        <v>68.053159800849869</v>
      </c>
      <c r="AI27" s="198">
        <f t="shared" ref="AI27:AI29" si="24">(AH27-W27)/W27</f>
        <v>-0.40137752840534296</v>
      </c>
    </row>
    <row r="28" spans="1:35" s="6" customFormat="1" ht="18" customHeight="1" x14ac:dyDescent="0.25">
      <c r="A28" s="49" t="s">
        <v>42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144">
        <f>W15/W21</f>
        <v>0.197233642118642</v>
      </c>
      <c r="X28" s="144">
        <f t="shared" ref="X28:AG28" si="25">X15/X21</f>
        <v>0.15513630920314447</v>
      </c>
      <c r="Y28" s="144">
        <f t="shared" si="25"/>
        <v>0.11946455938228516</v>
      </c>
      <c r="Z28" s="144">
        <f t="shared" si="25"/>
        <v>0.16745810602468694</v>
      </c>
      <c r="AA28" s="144">
        <f t="shared" si="25"/>
        <v>0.16909811506847044</v>
      </c>
      <c r="AB28" s="144">
        <f t="shared" si="25"/>
        <v>0.18698687542093997</v>
      </c>
      <c r="AC28" s="144">
        <f t="shared" si="25"/>
        <v>0.16756628194526771</v>
      </c>
      <c r="AD28" s="144">
        <f t="shared" si="25"/>
        <v>0.1307776328604412</v>
      </c>
      <c r="AE28" s="144">
        <f t="shared" si="25"/>
        <v>0.1390405521187873</v>
      </c>
      <c r="AF28" s="144">
        <f t="shared" si="25"/>
        <v>0.15313578671304412</v>
      </c>
      <c r="AG28" s="144">
        <f t="shared" si="25"/>
        <v>0.13981297205577611</v>
      </c>
      <c r="AH28" s="144">
        <f t="shared" ref="AH28" si="26">AH15/AH21</f>
        <v>0.14717048416966777</v>
      </c>
      <c r="AI28" s="199">
        <f t="shared" si="24"/>
        <v>-0.25382666674511706</v>
      </c>
    </row>
    <row r="29" spans="1:35" s="6" customFormat="1" ht="15" customHeight="1" x14ac:dyDescent="0.25">
      <c r="A29" s="49" t="s">
        <v>43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144">
        <f>W14/W15</f>
        <v>0.36837509180750705</v>
      </c>
      <c r="X29" s="144">
        <f t="shared" ref="X29:AG29" si="27">X14/X15</f>
        <v>0.29345056516169216</v>
      </c>
      <c r="Y29" s="144">
        <f t="shared" si="27"/>
        <v>0.25416943059694791</v>
      </c>
      <c r="Z29" s="144">
        <f t="shared" si="27"/>
        <v>0.31206514476273378</v>
      </c>
      <c r="AA29" s="144">
        <f t="shared" si="27"/>
        <v>0.3304665350441201</v>
      </c>
      <c r="AB29" s="144">
        <f t="shared" si="27"/>
        <v>0.40273993333230274</v>
      </c>
      <c r="AC29" s="144">
        <f t="shared" si="27"/>
        <v>0.39637301341876352</v>
      </c>
      <c r="AD29" s="144">
        <f t="shared" si="27"/>
        <v>0.21744670878536065</v>
      </c>
      <c r="AE29" s="144">
        <f t="shared" si="27"/>
        <v>0.20683095326933731</v>
      </c>
      <c r="AF29" s="144">
        <f t="shared" si="27"/>
        <v>0.33524188711806019</v>
      </c>
      <c r="AG29" s="144">
        <f t="shared" si="27"/>
        <v>0.26446958163883039</v>
      </c>
      <c r="AH29" s="144">
        <f t="shared" ref="AH29" si="28">AH14/AH15</f>
        <v>0.25931170187303676</v>
      </c>
      <c r="AI29" s="199">
        <f t="shared" si="24"/>
        <v>-0.2960661357404179</v>
      </c>
    </row>
    <row r="30" spans="1:35" s="6" customFormat="1" ht="15" customHeight="1" x14ac:dyDescent="0.25">
      <c r="A30" s="49" t="s">
        <v>6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20"/>
      <c r="P30" s="20"/>
      <c r="Q30" s="20"/>
      <c r="R30" s="14">
        <f t="shared" ref="R30:AG30" si="29">R13/R14</f>
        <v>1.4664696798054591</v>
      </c>
      <c r="S30" s="14">
        <f t="shared" si="29"/>
        <v>1.7143204411041331</v>
      </c>
      <c r="T30" s="14">
        <f t="shared" si="29"/>
        <v>1.3033011230900453</v>
      </c>
      <c r="U30" s="14">
        <f t="shared" si="29"/>
        <v>1.5609372964229438</v>
      </c>
      <c r="V30" s="14">
        <f t="shared" si="29"/>
        <v>2.1099600307284652</v>
      </c>
      <c r="W30" s="14">
        <f t="shared" si="29"/>
        <v>1.714624365869303</v>
      </c>
      <c r="X30" s="14">
        <f t="shared" si="29"/>
        <v>2.4077289967016999</v>
      </c>
      <c r="Y30" s="14">
        <f t="shared" si="29"/>
        <v>2.9343834451349164</v>
      </c>
      <c r="Z30" s="14">
        <f t="shared" si="29"/>
        <v>2.2044591226627053</v>
      </c>
      <c r="AA30" s="14">
        <f t="shared" si="29"/>
        <v>2.026025009965053</v>
      </c>
      <c r="AB30" s="14">
        <f t="shared" si="29"/>
        <v>1.4829919191919192</v>
      </c>
      <c r="AC30" s="14">
        <f t="shared" si="29"/>
        <v>1.5228760943508322</v>
      </c>
      <c r="AD30" s="14">
        <f t="shared" si="29"/>
        <v>3.5988279408132562</v>
      </c>
      <c r="AE30" s="14">
        <f t="shared" si="29"/>
        <v>3.8348662721570022</v>
      </c>
      <c r="AF30" s="14">
        <f t="shared" si="29"/>
        <v>1.9829208056206766</v>
      </c>
      <c r="AG30" s="14">
        <f t="shared" si="29"/>
        <v>2.7811531814106227</v>
      </c>
      <c r="AH30" s="14">
        <f t="shared" ref="AH30" si="30">AH13/AH14</f>
        <v>2.856362797270199</v>
      </c>
      <c r="AI30" s="141">
        <f>(AH30-R30)/R30</f>
        <v>0.94778169409484303</v>
      </c>
    </row>
    <row r="31" spans="1:35" s="6" customFormat="1" ht="15" customHeight="1" thickBot="1" x14ac:dyDescent="0.3">
      <c r="A31" s="49" t="s">
        <v>44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144">
        <f>W13/W15</f>
        <v>0.63162490819249295</v>
      </c>
      <c r="X31" s="144">
        <f t="shared" ref="X31:AG31" si="31">X13/X15</f>
        <v>0.70654943483830779</v>
      </c>
      <c r="Y31" s="144">
        <f t="shared" si="31"/>
        <v>0.74583056940305203</v>
      </c>
      <c r="Z31" s="144">
        <f t="shared" si="31"/>
        <v>0.68793485523726616</v>
      </c>
      <c r="AA31" s="144">
        <f t="shared" si="31"/>
        <v>0.66953346495587984</v>
      </c>
      <c r="AB31" s="144">
        <f t="shared" si="31"/>
        <v>0.59726006666769726</v>
      </c>
      <c r="AC31" s="144">
        <f t="shared" si="31"/>
        <v>0.60362698658123648</v>
      </c>
      <c r="AD31" s="144">
        <f t="shared" si="31"/>
        <v>0.78255329121463935</v>
      </c>
      <c r="AE31" s="144">
        <f t="shared" si="31"/>
        <v>0.79316904673066269</v>
      </c>
      <c r="AF31" s="144">
        <f t="shared" si="31"/>
        <v>0.66475811288193987</v>
      </c>
      <c r="AG31" s="144">
        <f t="shared" si="31"/>
        <v>0.73553041836116961</v>
      </c>
      <c r="AH31" s="144">
        <f t="shared" ref="AH31" si="32">AH13/AH15</f>
        <v>0.74068829812696324</v>
      </c>
      <c r="AI31" s="216">
        <f>(AH31-W31)/W31</f>
        <v>0.17267113522576966</v>
      </c>
    </row>
    <row r="32" spans="1:35" s="6" customFormat="1" ht="15" customHeight="1" thickBot="1" x14ac:dyDescent="0.3">
      <c r="A32" s="222" t="s">
        <v>48</v>
      </c>
      <c r="B32" s="222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4"/>
    </row>
    <row r="33" spans="1:35" s="6" customFormat="1" ht="22.5" x14ac:dyDescent="0.25">
      <c r="A33" s="49" t="s">
        <v>165</v>
      </c>
      <c r="B33" s="135">
        <f>B8/B9</f>
        <v>24.536115835120242</v>
      </c>
      <c r="C33" s="135">
        <f t="shared" ref="C33:AG33" si="33">C8/C9</f>
        <v>28.873283057435309</v>
      </c>
      <c r="D33" s="135">
        <f t="shared" si="33"/>
        <v>20.798231689791226</v>
      </c>
      <c r="E33" s="135">
        <f t="shared" si="33"/>
        <v>20.586463497328044</v>
      </c>
      <c r="F33" s="135">
        <f t="shared" si="33"/>
        <v>20.232605918053256</v>
      </c>
      <c r="G33" s="135">
        <f t="shared" si="33"/>
        <v>18.950641906312885</v>
      </c>
      <c r="H33" s="135">
        <f t="shared" si="33"/>
        <v>17.07183197563959</v>
      </c>
      <c r="I33" s="135">
        <f t="shared" si="33"/>
        <v>15.400237473284255</v>
      </c>
      <c r="J33" s="135">
        <f t="shared" si="33"/>
        <v>15.610896917435433</v>
      </c>
      <c r="K33" s="135">
        <f t="shared" si="33"/>
        <v>12.320179440190525</v>
      </c>
      <c r="L33" s="135">
        <f t="shared" si="33"/>
        <v>9.0897493697732461</v>
      </c>
      <c r="M33" s="135">
        <f t="shared" si="33"/>
        <v>5.9648332500650323</v>
      </c>
      <c r="N33" s="135">
        <f t="shared" si="33"/>
        <v>4.9409003661039268</v>
      </c>
      <c r="O33" s="135">
        <f t="shared" si="33"/>
        <v>5.0697226370649178</v>
      </c>
      <c r="P33" s="135">
        <f t="shared" si="33"/>
        <v>4.7829059167574197</v>
      </c>
      <c r="Q33" s="135">
        <f t="shared" si="33"/>
        <v>6.0316930267047839</v>
      </c>
      <c r="R33" s="135">
        <f t="shared" si="33"/>
        <v>8.4496430407902139</v>
      </c>
      <c r="S33" s="135">
        <f t="shared" si="33"/>
        <v>6.7124432223489032</v>
      </c>
      <c r="T33" s="135">
        <f t="shared" si="33"/>
        <v>7.3663671151585923</v>
      </c>
      <c r="U33" s="135">
        <f t="shared" si="33"/>
        <v>7.5040895860037171</v>
      </c>
      <c r="V33" s="135">
        <f t="shared" si="33"/>
        <v>6.9695807522113231</v>
      </c>
      <c r="W33" s="135">
        <f t="shared" si="33"/>
        <v>7.440350861099815</v>
      </c>
      <c r="X33" s="135">
        <f t="shared" si="33"/>
        <v>6.5907381848483002</v>
      </c>
      <c r="Y33" s="135">
        <f t="shared" si="33"/>
        <v>7.4620083938872117</v>
      </c>
      <c r="Z33" s="135">
        <f t="shared" si="33"/>
        <v>6.3128282170136369</v>
      </c>
      <c r="AA33" s="135">
        <f t="shared" si="33"/>
        <v>7.5868416609399922</v>
      </c>
      <c r="AB33" s="135">
        <f t="shared" si="33"/>
        <v>6.8867722667427458</v>
      </c>
      <c r="AC33" s="135">
        <f t="shared" si="33"/>
        <v>4.6407015438396426</v>
      </c>
      <c r="AD33" s="135">
        <f t="shared" si="33"/>
        <v>4.3929417472460255</v>
      </c>
      <c r="AE33" s="135">
        <f t="shared" si="33"/>
        <v>4.7465111630289476</v>
      </c>
      <c r="AF33" s="135">
        <f t="shared" si="33"/>
        <v>4.495182136028296</v>
      </c>
      <c r="AG33" s="135">
        <f t="shared" si="33"/>
        <v>5.0813318801824678</v>
      </c>
      <c r="AH33" s="135">
        <f t="shared" ref="AH33" si="34">AH8/AH9</f>
        <v>6.2962402100593051</v>
      </c>
      <c r="AI33" s="199">
        <f>(AH33-B33)/B33</f>
        <v>-0.74338887815947374</v>
      </c>
    </row>
    <row r="34" spans="1:35" s="6" customFormat="1" ht="15" customHeight="1" x14ac:dyDescent="0.25">
      <c r="A34" s="49" t="s">
        <v>45</v>
      </c>
      <c r="B34" s="136">
        <f>(B8-B9)/B8</f>
        <v>0.95924375289390218</v>
      </c>
      <c r="C34" s="136">
        <f t="shared" ref="C34:AG34" si="35">(C8-C9)/C8</f>
        <v>0.9653659059826768</v>
      </c>
      <c r="D34" s="136">
        <f t="shared" si="35"/>
        <v>0.95191898932009456</v>
      </c>
      <c r="E34" s="136">
        <f t="shared" si="35"/>
        <v>0.95142439107475685</v>
      </c>
      <c r="F34" s="136">
        <f t="shared" si="35"/>
        <v>0.95057482935958759</v>
      </c>
      <c r="G34" s="136">
        <f t="shared" si="35"/>
        <v>0.94723133892014089</v>
      </c>
      <c r="H34" s="136">
        <f t="shared" si="35"/>
        <v>0.94142397831545344</v>
      </c>
      <c r="I34" s="136">
        <f t="shared" si="35"/>
        <v>0.9350659363704773</v>
      </c>
      <c r="J34" s="136">
        <f t="shared" si="35"/>
        <v>0.9359421815870731</v>
      </c>
      <c r="K34" s="136">
        <f t="shared" si="35"/>
        <v>0.91883235103396066</v>
      </c>
      <c r="L34" s="136">
        <f t="shared" si="35"/>
        <v>0.88998596558389531</v>
      </c>
      <c r="M34" s="136">
        <f t="shared" si="35"/>
        <v>0.83235071994860921</v>
      </c>
      <c r="N34" s="136">
        <f t="shared" si="35"/>
        <v>0.79760773828585918</v>
      </c>
      <c r="O34" s="136">
        <f t="shared" si="35"/>
        <v>0.80275055035773257</v>
      </c>
      <c r="P34" s="136">
        <f t="shared" si="35"/>
        <v>0.79092208431355637</v>
      </c>
      <c r="Q34" s="136">
        <f t="shared" si="35"/>
        <v>0.83420906939849404</v>
      </c>
      <c r="R34" s="136">
        <f t="shared" si="35"/>
        <v>0.88165180526886733</v>
      </c>
      <c r="S34" s="136">
        <f t="shared" si="35"/>
        <v>0.85102294844438664</v>
      </c>
      <c r="T34" s="136">
        <f t="shared" si="35"/>
        <v>0.86424787356277843</v>
      </c>
      <c r="U34" s="136">
        <f t="shared" si="35"/>
        <v>0.86673933079568322</v>
      </c>
      <c r="V34" s="136">
        <f t="shared" si="35"/>
        <v>0.85651934663606299</v>
      </c>
      <c r="W34" s="136">
        <f t="shared" si="35"/>
        <v>0.86559773609222213</v>
      </c>
      <c r="X34" s="136">
        <f t="shared" si="35"/>
        <v>0.84827192767284576</v>
      </c>
      <c r="Y34" s="136">
        <f t="shared" si="35"/>
        <v>0.86598782161392529</v>
      </c>
      <c r="Z34" s="136">
        <f t="shared" si="35"/>
        <v>0.84159239478354397</v>
      </c>
      <c r="AA34" s="136">
        <f t="shared" si="35"/>
        <v>0.86819284694599752</v>
      </c>
      <c r="AB34" s="136">
        <f t="shared" si="35"/>
        <v>0.8547940949304873</v>
      </c>
      <c r="AC34" s="136">
        <f t="shared" si="35"/>
        <v>0.78451533877944324</v>
      </c>
      <c r="AD34" s="136">
        <f t="shared" si="35"/>
        <v>0.77236210777734327</v>
      </c>
      <c r="AE34" s="136">
        <f t="shared" si="35"/>
        <v>0.78931894065917285</v>
      </c>
      <c r="AF34" s="136">
        <f t="shared" si="35"/>
        <v>0.77753960357131446</v>
      </c>
      <c r="AG34" s="136">
        <f t="shared" si="35"/>
        <v>0.80320120323176158</v>
      </c>
      <c r="AH34" s="136">
        <f t="shared" ref="AH34" si="36">(AH8-AH9)/AH8</f>
        <v>0.84117505580515628</v>
      </c>
      <c r="AI34" s="199">
        <f t="shared" ref="AI34:AI35" si="37">(AH34-B34)/B34</f>
        <v>-0.12308518740158526</v>
      </c>
    </row>
    <row r="35" spans="1:35" s="6" customFormat="1" ht="15" customHeight="1" x14ac:dyDescent="0.25">
      <c r="A35" s="49" t="s">
        <v>46</v>
      </c>
      <c r="B35" s="66">
        <f>B8-B9</f>
        <v>5411259</v>
      </c>
      <c r="C35" s="66">
        <f t="shared" ref="C35:AG35" si="38">C8-C9</f>
        <v>5399919</v>
      </c>
      <c r="D35" s="66">
        <f t="shared" si="38"/>
        <v>6061585</v>
      </c>
      <c r="E35" s="66">
        <f t="shared" si="38"/>
        <v>5574758</v>
      </c>
      <c r="F35" s="66">
        <f t="shared" si="38"/>
        <v>5298506</v>
      </c>
      <c r="G35" s="66">
        <f t="shared" si="38"/>
        <v>5004262</v>
      </c>
      <c r="H35" s="66">
        <f t="shared" si="38"/>
        <v>4940224</v>
      </c>
      <c r="I35" s="66">
        <f t="shared" si="38"/>
        <v>4244758</v>
      </c>
      <c r="J35" s="66">
        <f t="shared" si="38"/>
        <v>4805261</v>
      </c>
      <c r="K35" s="66">
        <f t="shared" si="38"/>
        <v>4330229</v>
      </c>
      <c r="L35" s="66">
        <f t="shared" si="38"/>
        <v>3821994</v>
      </c>
      <c r="M35" s="66">
        <f t="shared" si="38"/>
        <v>3607284</v>
      </c>
      <c r="N35" s="66">
        <f t="shared" si="38"/>
        <v>2968830</v>
      </c>
      <c r="O35" s="66">
        <f t="shared" si="38"/>
        <v>5834391</v>
      </c>
      <c r="P35" s="66">
        <f t="shared" si="38"/>
        <v>3421506</v>
      </c>
      <c r="Q35" s="66">
        <f t="shared" si="38"/>
        <v>4125626</v>
      </c>
      <c r="R35" s="66">
        <f t="shared" si="38"/>
        <v>4983692</v>
      </c>
      <c r="S35" s="66">
        <f t="shared" si="38"/>
        <v>4684689</v>
      </c>
      <c r="T35" s="66">
        <f t="shared" si="38"/>
        <v>5080883</v>
      </c>
      <c r="U35" s="66">
        <f t="shared" si="38"/>
        <v>5525855</v>
      </c>
      <c r="V35" s="66">
        <f t="shared" si="38"/>
        <v>6193446</v>
      </c>
      <c r="W35" s="66">
        <f t="shared" si="38"/>
        <v>6318815</v>
      </c>
      <c r="X35" s="66">
        <f t="shared" si="38"/>
        <v>6051784</v>
      </c>
      <c r="Y35" s="66">
        <f t="shared" si="38"/>
        <v>6694589</v>
      </c>
      <c r="Z35" s="66">
        <f t="shared" si="38"/>
        <v>6001307</v>
      </c>
      <c r="AA35" s="66">
        <f t="shared" si="38"/>
        <v>6124834</v>
      </c>
      <c r="AB35" s="66">
        <f t="shared" si="38"/>
        <v>4869591</v>
      </c>
      <c r="AC35" s="66">
        <f t="shared" si="38"/>
        <v>2924419</v>
      </c>
      <c r="AD35" s="66">
        <f t="shared" si="38"/>
        <v>2923267</v>
      </c>
      <c r="AE35" s="66">
        <f t="shared" si="38"/>
        <v>3598494</v>
      </c>
      <c r="AF35" s="66">
        <f t="shared" si="38"/>
        <v>3432891</v>
      </c>
      <c r="AG35" s="66">
        <f t="shared" si="38"/>
        <v>3632467</v>
      </c>
      <c r="AH35" s="66">
        <f t="shared" ref="AH35" si="39">AH8-AH9</f>
        <v>4679546</v>
      </c>
      <c r="AI35" s="199">
        <f t="shared" si="37"/>
        <v>-0.1352204727217825</v>
      </c>
    </row>
    <row r="36" spans="1:35" s="6" customFormat="1" ht="15" customHeight="1" thickBot="1" x14ac:dyDescent="0.3">
      <c r="A36" s="76" t="s">
        <v>47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205">
        <f t="shared" ref="R36:AG36" si="40">R9/R15</f>
        <v>0.67234505291954483</v>
      </c>
      <c r="S36" s="205">
        <f t="shared" si="40"/>
        <v>0.86405594287707133</v>
      </c>
      <c r="T36" s="205">
        <f t="shared" si="40"/>
        <v>0.77165363466631343</v>
      </c>
      <c r="U36" s="205">
        <f t="shared" si="40"/>
        <v>0.81554317901696749</v>
      </c>
      <c r="V36" s="205">
        <f t="shared" si="40"/>
        <v>0.9285504602920881</v>
      </c>
      <c r="W36" s="205">
        <f t="shared" si="40"/>
        <v>0.81057374631633994</v>
      </c>
      <c r="X36" s="205">
        <f t="shared" si="40"/>
        <v>0.9576836510082315</v>
      </c>
      <c r="Y36" s="205">
        <f t="shared" si="40"/>
        <v>0.90304641049355006</v>
      </c>
      <c r="Z36" s="205">
        <f t="shared" si="40"/>
        <v>0.86556344978513933</v>
      </c>
      <c r="AA36" s="205">
        <f t="shared" si="40"/>
        <v>0.71212418265615118</v>
      </c>
      <c r="AB36" s="205">
        <f t="shared" si="40"/>
        <v>0.67303050002400167</v>
      </c>
      <c r="AC36" s="205">
        <f t="shared" si="40"/>
        <v>1.0393130566082656</v>
      </c>
      <c r="AD36" s="205">
        <f t="shared" si="40"/>
        <v>1.4021765665127088</v>
      </c>
      <c r="AE36" s="205">
        <f t="shared" si="40"/>
        <v>1.3575014416064584</v>
      </c>
      <c r="AF36" s="205">
        <f t="shared" si="40"/>
        <v>1.1866532584168408</v>
      </c>
      <c r="AG36" s="205">
        <f t="shared" si="40"/>
        <v>1.1761283262593138</v>
      </c>
      <c r="AH36" s="205">
        <f t="shared" ref="AH36" si="41">AH9/AH15</f>
        <v>0.93573469513112106</v>
      </c>
      <c r="AI36" s="206">
        <f>(AH36-R36)/R36</f>
        <v>0.39174772100702043</v>
      </c>
    </row>
    <row r="37" spans="1:35" s="6" customFormat="1" ht="15" customHeight="1" thickBot="1" x14ac:dyDescent="0.3">
      <c r="A37" s="222" t="s">
        <v>49</v>
      </c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s="6" customFormat="1" ht="15" customHeight="1" x14ac:dyDescent="0.25">
      <c r="A38" s="49" t="s">
        <v>167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20"/>
      <c r="P38" s="20"/>
      <c r="Q38" s="20"/>
      <c r="R38" s="14"/>
      <c r="S38" s="14"/>
      <c r="T38" s="14"/>
      <c r="U38" s="14"/>
      <c r="V38" s="14"/>
      <c r="W38" s="14">
        <f>W11/W5</f>
        <v>43.695714285714288</v>
      </c>
      <c r="X38" s="14">
        <f t="shared" ref="X38:AG38" si="42">X11/X5</f>
        <v>54.595609756097559</v>
      </c>
      <c r="Y38" s="14">
        <f t="shared" si="42"/>
        <v>49.3450110864745</v>
      </c>
      <c r="Z38" s="14">
        <f t="shared" si="42"/>
        <v>45.741379310344826</v>
      </c>
      <c r="AA38" s="14">
        <f t="shared" si="42"/>
        <v>30.440231935771632</v>
      </c>
      <c r="AB38" s="14">
        <f t="shared" si="42"/>
        <v>28.950328022492972</v>
      </c>
      <c r="AC38" s="14">
        <f t="shared" si="42"/>
        <v>6.2246272246272243</v>
      </c>
      <c r="AD38" s="14">
        <f t="shared" si="42"/>
        <v>13.265608465608466</v>
      </c>
      <c r="AE38" s="14">
        <f t="shared" si="42"/>
        <v>14.249598286020353</v>
      </c>
      <c r="AF38" s="14">
        <f t="shared" si="42"/>
        <v>12.629145728643216</v>
      </c>
      <c r="AG38" s="14">
        <f t="shared" si="42"/>
        <v>9.8613424791768747</v>
      </c>
      <c r="AH38" s="14">
        <f t="shared" ref="AH38" si="43">AH11/AH5</f>
        <v>11.080803134182174</v>
      </c>
      <c r="AI38" s="140">
        <f>(AG38-W38)/W38</f>
        <v>-0.77431785610148718</v>
      </c>
    </row>
    <row r="39" spans="1:35" s="6" customFormat="1" ht="15" customHeight="1" thickBot="1" x14ac:dyDescent="0.3">
      <c r="A39" s="76" t="s">
        <v>168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207">
        <f>W11/W21</f>
        <v>1.4952215677168626E-2</v>
      </c>
      <c r="X39" s="207">
        <f t="shared" ref="X39:AG39" si="44">X11/X21</f>
        <v>1.5361472448212796E-2</v>
      </c>
      <c r="Y39" s="207">
        <f t="shared" si="44"/>
        <v>1.1587308017165874E-2</v>
      </c>
      <c r="Z39" s="207">
        <f t="shared" si="44"/>
        <v>1.32766000037212E-2</v>
      </c>
      <c r="AA39" s="207">
        <f t="shared" si="44"/>
        <v>8.838141839180965E-3</v>
      </c>
      <c r="AB39" s="207">
        <f t="shared" si="44"/>
        <v>9.3989323433570863E-3</v>
      </c>
      <c r="AC39" s="207">
        <f t="shared" si="44"/>
        <v>2.8057329660289717E-3</v>
      </c>
      <c r="AD39" s="207">
        <f t="shared" si="44"/>
        <v>5.3362120046040575E-3</v>
      </c>
      <c r="AE39" s="207">
        <f t="shared" si="44"/>
        <v>5.2279926740502599E-3</v>
      </c>
      <c r="AF39" s="207">
        <f t="shared" si="44"/>
        <v>4.6498332539304434E-3</v>
      </c>
      <c r="AG39" s="207">
        <f t="shared" si="44"/>
        <v>3.7186170668763543E-3</v>
      </c>
      <c r="AH39" s="207">
        <f t="shared" ref="AH39" si="45">AH11/AH21</f>
        <v>3.5266664110546581E-3</v>
      </c>
      <c r="AI39" s="208">
        <f>(AG39-W39)/W39</f>
        <v>-0.75129993125002081</v>
      </c>
    </row>
    <row r="40" spans="1:35" s="6" customFormat="1" ht="15" customHeight="1" thickBot="1" x14ac:dyDescent="0.3">
      <c r="A40" s="222" t="s">
        <v>50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s="6" customFormat="1" ht="15" customHeight="1" x14ac:dyDescent="0.25">
      <c r="A41" s="76" t="s">
        <v>51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209">
        <f>W21/W5</f>
        <v>2922.3571428571427</v>
      </c>
      <c r="X41" s="209">
        <f t="shared" ref="X41:AG41" si="46">X21/X5</f>
        <v>3554.060975609756</v>
      </c>
      <c r="Y41" s="209">
        <f t="shared" si="46"/>
        <v>4258.5396895787144</v>
      </c>
      <c r="Z41" s="209">
        <f t="shared" si="46"/>
        <v>3445.2630415561448</v>
      </c>
      <c r="AA41" s="209">
        <f t="shared" si="46"/>
        <v>3444.1891168599464</v>
      </c>
      <c r="AB41" s="209">
        <f t="shared" si="46"/>
        <v>3080.1719775070292</v>
      </c>
      <c r="AC41" s="209">
        <f t="shared" si="46"/>
        <v>2218.5387205387206</v>
      </c>
      <c r="AD41" s="209">
        <f t="shared" si="46"/>
        <v>2485.9597883597885</v>
      </c>
      <c r="AE41" s="209">
        <f t="shared" si="46"/>
        <v>2725.6347080878413</v>
      </c>
      <c r="AF41" s="209">
        <f t="shared" si="46"/>
        <v>2716.0427135678392</v>
      </c>
      <c r="AG41" s="209">
        <f t="shared" si="46"/>
        <v>2651.8843704066635</v>
      </c>
      <c r="AH41" s="209">
        <f t="shared" ref="AH41" si="47">AH21/AH5</f>
        <v>3142.0048971596475</v>
      </c>
      <c r="AI41" s="206">
        <f>(AH41-W41)/W41</f>
        <v>7.5161160517074471E-2</v>
      </c>
    </row>
    <row r="42" spans="1:35" s="6" customFormat="1" ht="15" customHeight="1" thickBot="1" x14ac:dyDescent="0.3">
      <c r="A42" s="76" t="s">
        <v>52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210">
        <f>W15/W5</f>
        <v>576.38714285714286</v>
      </c>
      <c r="X42" s="210">
        <f t="shared" ref="X42:AG42" si="48">X15/X5</f>
        <v>551.3639024390244</v>
      </c>
      <c r="Y42" s="210">
        <f t="shared" si="48"/>
        <v>508.74456762749446</v>
      </c>
      <c r="Z42" s="210">
        <f t="shared" si="48"/>
        <v>576.93722369584441</v>
      </c>
      <c r="AA42" s="210">
        <f t="shared" si="48"/>
        <v>582.40588760035678</v>
      </c>
      <c r="AB42" s="210">
        <f t="shared" si="48"/>
        <v>575.95173383317717</v>
      </c>
      <c r="AC42" s="210">
        <f t="shared" si="48"/>
        <v>371.75228475228477</v>
      </c>
      <c r="AD42" s="210">
        <f t="shared" si="48"/>
        <v>325.10793650793653</v>
      </c>
      <c r="AE42" s="210">
        <f t="shared" si="48"/>
        <v>378.97375468666309</v>
      </c>
      <c r="AF42" s="210">
        <f t="shared" si="48"/>
        <v>415.92333768844225</v>
      </c>
      <c r="AG42" s="210">
        <f t="shared" si="48"/>
        <v>370.76783537481629</v>
      </c>
      <c r="AH42" s="210">
        <f t="shared" ref="AH42" si="49">AH15/AH5</f>
        <v>462.41038197845251</v>
      </c>
      <c r="AI42" s="208">
        <f>(AH42-W42)/W42</f>
        <v>-0.19774341307078638</v>
      </c>
    </row>
    <row r="43" spans="1:35" s="6" customFormat="1" ht="15" customHeight="1" thickBot="1" x14ac:dyDescent="0.3">
      <c r="A43" s="222" t="s">
        <v>53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</row>
    <row r="44" spans="1:35" s="6" customFormat="1" ht="15" customHeight="1" x14ac:dyDescent="0.25">
      <c r="A44" s="59" t="s">
        <v>166</v>
      </c>
      <c r="B44" s="75">
        <f>B8+B9</f>
        <v>5871085</v>
      </c>
      <c r="C44" s="75">
        <f t="shared" ref="C44:AG44" si="50">C8+C9</f>
        <v>5787381</v>
      </c>
      <c r="D44" s="75">
        <f t="shared" si="50"/>
        <v>6673921</v>
      </c>
      <c r="E44" s="75">
        <f t="shared" si="50"/>
        <v>6144004</v>
      </c>
      <c r="F44" s="75">
        <f t="shared" si="50"/>
        <v>5849498</v>
      </c>
      <c r="G44" s="75">
        <f t="shared" si="50"/>
        <v>5561820</v>
      </c>
      <c r="H44" s="75">
        <f t="shared" si="50"/>
        <v>5554992</v>
      </c>
      <c r="I44" s="75">
        <f t="shared" si="50"/>
        <v>4834298</v>
      </c>
      <c r="J44" s="75">
        <f t="shared" si="50"/>
        <v>5463025</v>
      </c>
      <c r="K44" s="75">
        <f t="shared" si="50"/>
        <v>5095275</v>
      </c>
      <c r="L44" s="75">
        <f t="shared" si="50"/>
        <v>4766892</v>
      </c>
      <c r="M44" s="75">
        <f t="shared" si="50"/>
        <v>5060418</v>
      </c>
      <c r="N44" s="75">
        <f t="shared" si="50"/>
        <v>4475506</v>
      </c>
      <c r="O44" s="75">
        <f t="shared" si="50"/>
        <v>8701609</v>
      </c>
      <c r="P44" s="75">
        <f t="shared" si="50"/>
        <v>5230436</v>
      </c>
      <c r="Q44" s="75">
        <f t="shared" si="50"/>
        <v>5765482</v>
      </c>
      <c r="R44" s="75">
        <f t="shared" si="50"/>
        <v>6321660</v>
      </c>
      <c r="S44" s="75">
        <f t="shared" si="50"/>
        <v>6324859</v>
      </c>
      <c r="T44" s="75">
        <f t="shared" si="50"/>
        <v>6677047</v>
      </c>
      <c r="U44" s="75">
        <f t="shared" si="50"/>
        <v>7225049</v>
      </c>
      <c r="V44" s="75">
        <f t="shared" si="50"/>
        <v>8268448</v>
      </c>
      <c r="W44" s="75">
        <f t="shared" si="50"/>
        <v>8281073</v>
      </c>
      <c r="X44" s="75">
        <f t="shared" si="50"/>
        <v>8216716</v>
      </c>
      <c r="Y44" s="75">
        <f t="shared" si="50"/>
        <v>8766573</v>
      </c>
      <c r="Z44" s="75">
        <f t="shared" si="50"/>
        <v>8260483</v>
      </c>
      <c r="AA44" s="75">
        <f t="shared" si="50"/>
        <v>7984552</v>
      </c>
      <c r="AB44" s="75">
        <f t="shared" si="50"/>
        <v>6524009</v>
      </c>
      <c r="AC44" s="75">
        <f t="shared" si="50"/>
        <v>4530933</v>
      </c>
      <c r="AD44" s="75">
        <f t="shared" si="50"/>
        <v>4646413</v>
      </c>
      <c r="AE44" s="75">
        <f t="shared" si="50"/>
        <v>5519478</v>
      </c>
      <c r="AF44" s="75">
        <f t="shared" si="50"/>
        <v>5397247</v>
      </c>
      <c r="AG44" s="75">
        <f t="shared" si="50"/>
        <v>5412507</v>
      </c>
      <c r="AH44" s="75">
        <f t="shared" ref="AH44" si="51">AH8+AH9</f>
        <v>6446666</v>
      </c>
      <c r="AI44" s="219">
        <f>(AH44-B44)/B44</f>
        <v>9.8036563940055374E-2</v>
      </c>
    </row>
    <row r="45" spans="1:35" s="6" customFormat="1" ht="15" customHeight="1" x14ac:dyDescent="0.25">
      <c r="A45" s="76" t="s">
        <v>54</v>
      </c>
      <c r="B45" s="79"/>
      <c r="C45" s="137">
        <f>C10/C44</f>
        <v>4.1043262919790491E-2</v>
      </c>
      <c r="D45" s="137">
        <f t="shared" ref="D45:AG45" si="52">D10/D44</f>
        <v>3.4457704848469141E-2</v>
      </c>
      <c r="E45" s="137">
        <f t="shared" si="52"/>
        <v>2.6541323866325607E-2</v>
      </c>
      <c r="F45" s="137">
        <f t="shared" si="52"/>
        <v>2.7360638468463448E-2</v>
      </c>
      <c r="G45" s="137">
        <f t="shared" si="52"/>
        <v>2.5894221675638551E-2</v>
      </c>
      <c r="H45" s="137">
        <f t="shared" si="52"/>
        <v>2.2603452894261595E-2</v>
      </c>
      <c r="I45" s="137">
        <f t="shared" si="52"/>
        <v>2.9061510068266374E-2</v>
      </c>
      <c r="J45" s="137">
        <f t="shared" si="52"/>
        <v>2.9799973457928529E-2</v>
      </c>
      <c r="K45" s="137">
        <f t="shared" si="52"/>
        <v>3.4017005951592405E-2</v>
      </c>
      <c r="L45" s="137">
        <f t="shared" si="52"/>
        <v>4.7603344065693116E-2</v>
      </c>
      <c r="M45" s="137">
        <f t="shared" si="52"/>
        <v>8.5537795494364299E-2</v>
      </c>
      <c r="N45" s="137">
        <f t="shared" si="52"/>
        <v>7.3712558982157547E-2</v>
      </c>
      <c r="O45" s="137">
        <f t="shared" si="52"/>
        <v>5.121914809088756E-2</v>
      </c>
      <c r="P45" s="137">
        <f t="shared" si="52"/>
        <v>2.3070352070075992E-2</v>
      </c>
      <c r="Q45" s="137">
        <f t="shared" si="52"/>
        <v>2.635876757572047E-2</v>
      </c>
      <c r="R45" s="137">
        <f t="shared" si="52"/>
        <v>2.7268312436923212E-2</v>
      </c>
      <c r="S45" s="137">
        <f t="shared" si="52"/>
        <v>2.3199726665843461E-2</v>
      </c>
      <c r="T45" s="137">
        <f t="shared" si="52"/>
        <v>2.2204726131177452E-2</v>
      </c>
      <c r="U45" s="137">
        <f t="shared" si="52"/>
        <v>1.9453985709993109E-2</v>
      </c>
      <c r="V45" s="137">
        <f t="shared" si="52"/>
        <v>9.2012430869735167E-4</v>
      </c>
      <c r="W45" s="137">
        <f t="shared" si="52"/>
        <v>8.7718101265379499E-4</v>
      </c>
      <c r="X45" s="137">
        <f t="shared" si="52"/>
        <v>7.2023908335154822E-4</v>
      </c>
      <c r="Y45" s="137">
        <f t="shared" si="52"/>
        <v>4.3620237919652299E-4</v>
      </c>
      <c r="Z45" s="137">
        <f t="shared" si="52"/>
        <v>3.5349022569261388E-4</v>
      </c>
      <c r="AA45" s="137">
        <f t="shared" si="52"/>
        <v>4.1517670621971027E-4</v>
      </c>
      <c r="AB45" s="137">
        <f t="shared" si="52"/>
        <v>8.0012152037190626E-4</v>
      </c>
      <c r="AC45" s="137">
        <f t="shared" si="52"/>
        <v>5.1461807093594186E-3</v>
      </c>
      <c r="AD45" s="137">
        <f t="shared" si="52"/>
        <v>5.3697335987997624E-4</v>
      </c>
      <c r="AE45" s="137">
        <f t="shared" si="52"/>
        <v>4.1598136635384722E-4</v>
      </c>
      <c r="AF45" s="137">
        <f t="shared" si="52"/>
        <v>3.5610747479224131E-4</v>
      </c>
      <c r="AG45" s="137">
        <f t="shared" si="52"/>
        <v>1.1717305862144842E-3</v>
      </c>
      <c r="AH45" s="137">
        <f t="shared" ref="AH45" si="53">AH10/AH44</f>
        <v>1.7415203455553615E-3</v>
      </c>
      <c r="AI45" s="211">
        <f>(AH45-C45)/C45</f>
        <v>-0.95756866726315704</v>
      </c>
    </row>
    <row r="46" spans="1:35" s="6" customFormat="1" ht="15" customHeight="1" thickBot="1" x14ac:dyDescent="0.3">
      <c r="A46" s="76" t="s">
        <v>55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205">
        <f>R13/R11</f>
        <v>5.8994993916910987</v>
      </c>
      <c r="S46" s="205">
        <f t="shared" ref="S46:AG46" si="54">S13/S11</f>
        <v>6.3068061064525969</v>
      </c>
      <c r="T46" s="205">
        <f t="shared" si="54"/>
        <v>8.7317597206887285</v>
      </c>
      <c r="U46" s="205">
        <f t="shared" si="54"/>
        <v>7.3667424646727149</v>
      </c>
      <c r="V46" s="205">
        <f t="shared" si="54"/>
        <v>8.1526515599625746</v>
      </c>
      <c r="W46" s="205">
        <f t="shared" si="54"/>
        <v>8.3317204476847468</v>
      </c>
      <c r="X46" s="205">
        <f t="shared" si="54"/>
        <v>7.135479489997409</v>
      </c>
      <c r="Y46" s="205">
        <f t="shared" si="54"/>
        <v>7.6894754342922358</v>
      </c>
      <c r="Z46" s="205">
        <f t="shared" si="54"/>
        <v>8.6769404737742466</v>
      </c>
      <c r="AA46" s="205">
        <f t="shared" si="54"/>
        <v>12.810028279631339</v>
      </c>
      <c r="AB46" s="205">
        <f t="shared" si="54"/>
        <v>11.882178698607964</v>
      </c>
      <c r="AC46" s="205">
        <f t="shared" si="54"/>
        <v>36.050305231434976</v>
      </c>
      <c r="AD46" s="205">
        <f t="shared" si="54"/>
        <v>19.178485960433949</v>
      </c>
      <c r="AE46" s="205">
        <f t="shared" si="54"/>
        <v>21.094647421440385</v>
      </c>
      <c r="AF46" s="205">
        <f t="shared" si="54"/>
        <v>21.892883256406176</v>
      </c>
      <c r="AG46" s="205">
        <f t="shared" si="54"/>
        <v>27.654553286629902</v>
      </c>
      <c r="AH46" s="205">
        <f t="shared" ref="AH46" si="55">AH13/AH11</f>
        <v>30.909488663985503</v>
      </c>
      <c r="AI46" s="206">
        <f>(AH46-R46)/R46</f>
        <v>4.2393409358629093</v>
      </c>
    </row>
    <row r="47" spans="1:35" s="6" customFormat="1" ht="15" customHeight="1" thickBot="1" x14ac:dyDescent="0.3">
      <c r="A47" s="222" t="s">
        <v>56</v>
      </c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</row>
    <row r="48" spans="1:35" s="6" customFormat="1" ht="12.75" x14ac:dyDescent="0.25">
      <c r="A48" s="59" t="s">
        <v>58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145">
        <f>W21/W5</f>
        <v>2922.3571428571427</v>
      </c>
      <c r="X48" s="145">
        <f t="shared" ref="X48:AG48" si="56">X21/X5</f>
        <v>3554.060975609756</v>
      </c>
      <c r="Y48" s="145">
        <f t="shared" si="56"/>
        <v>4258.5396895787144</v>
      </c>
      <c r="Z48" s="145">
        <f t="shared" si="56"/>
        <v>3445.2630415561448</v>
      </c>
      <c r="AA48" s="145">
        <f t="shared" si="56"/>
        <v>3444.1891168599464</v>
      </c>
      <c r="AB48" s="145">
        <f t="shared" si="56"/>
        <v>3080.1719775070292</v>
      </c>
      <c r="AC48" s="145">
        <f t="shared" si="56"/>
        <v>2218.5387205387206</v>
      </c>
      <c r="AD48" s="145">
        <f t="shared" si="56"/>
        <v>2485.9597883597885</v>
      </c>
      <c r="AE48" s="145">
        <f t="shared" si="56"/>
        <v>2725.6347080878413</v>
      </c>
      <c r="AF48" s="145">
        <f t="shared" si="56"/>
        <v>2716.0427135678392</v>
      </c>
      <c r="AG48" s="145">
        <f t="shared" si="56"/>
        <v>2651.8843704066635</v>
      </c>
      <c r="AH48" s="145">
        <f t="shared" ref="AH48" si="57">AH21/AH5</f>
        <v>3142.0048971596475</v>
      </c>
      <c r="AI48" s="219">
        <f>(AH48-W48)/W48</f>
        <v>7.5161160517074471E-2</v>
      </c>
    </row>
    <row r="49" spans="1:35" s="6" customFormat="1" ht="23.25" thickBot="1" x14ac:dyDescent="0.3">
      <c r="A49" s="80" t="s">
        <v>57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212">
        <f>W21/(W5*W48)</f>
        <v>1</v>
      </c>
      <c r="X49" s="212">
        <f t="shared" ref="X49:AG49" si="58">X21/(X5*X48)</f>
        <v>1</v>
      </c>
      <c r="Y49" s="212">
        <f t="shared" si="58"/>
        <v>0.99999999999999978</v>
      </c>
      <c r="Z49" s="212">
        <f t="shared" si="58"/>
        <v>1</v>
      </c>
      <c r="AA49" s="212">
        <f t="shared" si="58"/>
        <v>1</v>
      </c>
      <c r="AB49" s="212">
        <f t="shared" si="58"/>
        <v>1</v>
      </c>
      <c r="AC49" s="212">
        <f t="shared" si="58"/>
        <v>1</v>
      </c>
      <c r="AD49" s="212">
        <f t="shared" si="58"/>
        <v>1</v>
      </c>
      <c r="AE49" s="212">
        <f t="shared" si="58"/>
        <v>1</v>
      </c>
      <c r="AF49" s="212">
        <f t="shared" si="58"/>
        <v>1</v>
      </c>
      <c r="AG49" s="212">
        <f t="shared" si="58"/>
        <v>1</v>
      </c>
      <c r="AH49" s="212">
        <f t="shared" ref="AH49" si="59">AH21/(AH5*AH48)</f>
        <v>1</v>
      </c>
      <c r="AI49" s="213">
        <f>(AH49-W49)/W49</f>
        <v>0</v>
      </c>
    </row>
    <row r="50" spans="1:35" s="6" customFormat="1" ht="15" customHeight="1" thickBot="1" x14ac:dyDescent="0.3">
      <c r="A50" s="222" t="s">
        <v>153</v>
      </c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</row>
    <row r="51" spans="1:35" s="6" customFormat="1" ht="22.5" x14ac:dyDescent="0.25">
      <c r="A51" s="59" t="s">
        <v>154</v>
      </c>
      <c r="B51" s="75"/>
      <c r="C51" s="75">
        <f>(C8+C9+C10)/C17</f>
        <v>502.07616666666667</v>
      </c>
      <c r="D51" s="75">
        <f t="shared" ref="D51:AG51" si="60">(D8+D9+D10)/D17</f>
        <v>575.32408333333331</v>
      </c>
      <c r="E51" s="75">
        <f t="shared" si="60"/>
        <v>525.58950000000004</v>
      </c>
      <c r="F51" s="75">
        <f t="shared" si="60"/>
        <v>500.79533333333336</v>
      </c>
      <c r="G51" s="75">
        <f t="shared" si="60"/>
        <v>475.48658333333333</v>
      </c>
      <c r="H51" s="75">
        <f t="shared" si="60"/>
        <v>473.37950000000001</v>
      </c>
      <c r="I51" s="75">
        <f t="shared" si="60"/>
        <v>414.56583333333333</v>
      </c>
      <c r="J51" s="75">
        <f t="shared" si="60"/>
        <v>468.81858333333332</v>
      </c>
      <c r="K51" s="75">
        <f t="shared" si="60"/>
        <v>439.05008333333336</v>
      </c>
      <c r="L51" s="75">
        <f t="shared" si="60"/>
        <v>416.15100000000001</v>
      </c>
      <c r="M51" s="75">
        <f t="shared" si="60"/>
        <v>457.77291666666667</v>
      </c>
      <c r="N51" s="75">
        <f t="shared" si="60"/>
        <v>400.45058333333333</v>
      </c>
      <c r="O51" s="75">
        <f t="shared" si="60"/>
        <v>762.27483333333328</v>
      </c>
      <c r="P51" s="75">
        <f t="shared" si="60"/>
        <v>445.92533333333336</v>
      </c>
      <c r="Q51" s="75">
        <f t="shared" si="60"/>
        <v>493.12108333333333</v>
      </c>
      <c r="R51" s="75">
        <f t="shared" si="60"/>
        <v>541.17008333333331</v>
      </c>
      <c r="S51" s="75">
        <f t="shared" si="60"/>
        <v>539.29949999999997</v>
      </c>
      <c r="T51" s="75">
        <f t="shared" si="60"/>
        <v>568.77575000000002</v>
      </c>
      <c r="U51" s="75">
        <f t="shared" si="60"/>
        <v>613.80041666666671</v>
      </c>
      <c r="V51" s="75">
        <f t="shared" si="60"/>
        <v>689.67133333333334</v>
      </c>
      <c r="W51" s="75">
        <f t="shared" si="60"/>
        <v>690.69475</v>
      </c>
      <c r="X51" s="75">
        <f t="shared" si="60"/>
        <v>685.21950000000004</v>
      </c>
      <c r="Y51" s="75">
        <f t="shared" si="60"/>
        <v>730.86641666666662</v>
      </c>
      <c r="Z51" s="75">
        <f t="shared" si="60"/>
        <v>688.61691666666661</v>
      </c>
      <c r="AA51" s="75">
        <f t="shared" si="60"/>
        <v>665.65558333333331</v>
      </c>
      <c r="AB51" s="75">
        <f t="shared" si="60"/>
        <v>544.10241666666661</v>
      </c>
      <c r="AC51" s="75">
        <f t="shared" si="60"/>
        <v>379.52083333333331</v>
      </c>
      <c r="AD51" s="75">
        <f t="shared" si="60"/>
        <v>387.40899999999999</v>
      </c>
      <c r="AE51" s="75">
        <f t="shared" si="60"/>
        <v>460.14783333333332</v>
      </c>
      <c r="AF51" s="75">
        <f t="shared" si="60"/>
        <v>449.93074999999999</v>
      </c>
      <c r="AG51" s="75">
        <f t="shared" si="60"/>
        <v>451.57074999999998</v>
      </c>
      <c r="AH51" s="75">
        <f t="shared" ref="AH51" si="61">(AH8+AH9+AH10)/AH17</f>
        <v>538.15774999999996</v>
      </c>
      <c r="AI51" s="219">
        <f>(AH51-C51)/C51</f>
        <v>7.1864760227282845E-2</v>
      </c>
    </row>
    <row r="52" spans="1:35" s="6" customFormat="1" ht="22.5" x14ac:dyDescent="0.25">
      <c r="A52" s="76" t="s">
        <v>155</v>
      </c>
      <c r="B52" s="79"/>
      <c r="C52" s="138">
        <f>(C8+C9+C10)/B18</f>
        <v>42428.971830985916</v>
      </c>
      <c r="D52" s="138">
        <f t="shared" ref="D52:AH52" si="62">(D8+D9+D10)/C18</f>
        <v>48618.936619718312</v>
      </c>
      <c r="E52" s="138">
        <f t="shared" si="62"/>
        <v>44416.014084507042</v>
      </c>
      <c r="F52" s="138">
        <f t="shared" si="62"/>
        <v>42320.732394366198</v>
      </c>
      <c r="G52" s="138">
        <f t="shared" si="62"/>
        <v>40181.964788732395</v>
      </c>
      <c r="H52" s="138">
        <f t="shared" si="62"/>
        <v>40003.901408450707</v>
      </c>
      <c r="I52" s="138">
        <f t="shared" si="62"/>
        <v>35033.732394366198</v>
      </c>
      <c r="J52" s="138">
        <f t="shared" si="62"/>
        <v>39618.471830985916</v>
      </c>
      <c r="K52" s="138">
        <f t="shared" si="62"/>
        <v>37102.82394366197</v>
      </c>
      <c r="L52" s="138">
        <f t="shared" si="62"/>
        <v>35167.690140845072</v>
      </c>
      <c r="M52" s="138">
        <f t="shared" si="62"/>
        <v>38685.035211267605</v>
      </c>
      <c r="N52" s="138">
        <f t="shared" si="62"/>
        <v>33840.894366197186</v>
      </c>
      <c r="O52" s="138">
        <f t="shared" si="62"/>
        <v>64417.591549295772</v>
      </c>
      <c r="P52" s="138">
        <f t="shared" si="62"/>
        <v>37683.830985915491</v>
      </c>
      <c r="Q52" s="138">
        <f t="shared" si="62"/>
        <v>41672.204225352114</v>
      </c>
      <c r="R52" s="138">
        <f t="shared" si="62"/>
        <v>45732.683098591551</v>
      </c>
      <c r="S52" s="138">
        <f t="shared" si="62"/>
        <v>45574.605633802814</v>
      </c>
      <c r="T52" s="138">
        <f t="shared" si="62"/>
        <v>48065.556338028167</v>
      </c>
      <c r="U52" s="138">
        <f t="shared" si="62"/>
        <v>51870.457746478874</v>
      </c>
      <c r="V52" s="138">
        <f t="shared" si="62"/>
        <v>58282.084507042251</v>
      </c>
      <c r="W52" s="138">
        <f t="shared" si="62"/>
        <v>58368.570422535209</v>
      </c>
      <c r="X52" s="138">
        <f t="shared" si="62"/>
        <v>57905.873239436616</v>
      </c>
      <c r="Y52" s="138">
        <f t="shared" si="62"/>
        <v>61763.359154929574</v>
      </c>
      <c r="Z52" s="138">
        <f t="shared" si="62"/>
        <v>58192.978873239437</v>
      </c>
      <c r="AA52" s="138">
        <f t="shared" si="62"/>
        <v>56252.584507042251</v>
      </c>
      <c r="AB52" s="138">
        <f t="shared" si="62"/>
        <v>45980.485915492958</v>
      </c>
      <c r="AC52" s="138">
        <f t="shared" si="62"/>
        <v>32072.183098591548</v>
      </c>
      <c r="AD52" s="138">
        <f t="shared" si="62"/>
        <v>32738.788732394365</v>
      </c>
      <c r="AE52" s="138">
        <f t="shared" si="62"/>
        <v>38885.732394366198</v>
      </c>
      <c r="AF52" s="138">
        <f t="shared" si="62"/>
        <v>38022.316901408449</v>
      </c>
      <c r="AG52" s="138">
        <f t="shared" si="62"/>
        <v>38160.908450704228</v>
      </c>
      <c r="AH52" s="138">
        <f t="shared" si="62"/>
        <v>45478.119718309856</v>
      </c>
      <c r="AI52" s="202">
        <f>(AH52-C52)/C52</f>
        <v>7.1864760227282803E-2</v>
      </c>
    </row>
    <row r="53" spans="1:35" s="6" customFormat="1" ht="15" customHeight="1" thickBot="1" x14ac:dyDescent="0.3">
      <c r="A53" s="76" t="s">
        <v>156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205">
        <f>R15/R17</f>
        <v>82.916749999999993</v>
      </c>
      <c r="S53" s="205">
        <f t="shared" ref="S53:AG53" si="63">S15/S17</f>
        <v>79.092583333333337</v>
      </c>
      <c r="T53" s="205">
        <f t="shared" si="63"/>
        <v>86.187416666666664</v>
      </c>
      <c r="U53" s="205">
        <f t="shared" si="63"/>
        <v>86.813000000000002</v>
      </c>
      <c r="V53" s="205">
        <f t="shared" si="63"/>
        <v>93.111166666666662</v>
      </c>
      <c r="W53" s="205">
        <f t="shared" si="63"/>
        <v>100.86775</v>
      </c>
      <c r="X53" s="205">
        <f t="shared" si="63"/>
        <v>94.191333333333333</v>
      </c>
      <c r="Y53" s="205">
        <f t="shared" si="63"/>
        <v>95.601583333333338</v>
      </c>
      <c r="Z53" s="205">
        <f t="shared" si="63"/>
        <v>108.75266666666667</v>
      </c>
      <c r="AA53" s="205">
        <f t="shared" si="63"/>
        <v>108.81283333333333</v>
      </c>
      <c r="AB53" s="205">
        <f t="shared" si="63"/>
        <v>102.42341666666667</v>
      </c>
      <c r="AC53" s="205">
        <f t="shared" si="63"/>
        <v>64.406083333333328</v>
      </c>
      <c r="AD53" s="205">
        <f t="shared" si="63"/>
        <v>51.204500000000003</v>
      </c>
      <c r="AE53" s="205">
        <f t="shared" si="63"/>
        <v>58.962000000000003</v>
      </c>
      <c r="AF53" s="205">
        <f t="shared" si="63"/>
        <v>68.973953500000007</v>
      </c>
      <c r="AG53" s="205">
        <f t="shared" si="63"/>
        <v>63.061429333333336</v>
      </c>
      <c r="AH53" s="205">
        <f t="shared" ref="AH53" si="64">AH15/AH17</f>
        <v>78.68683333333334</v>
      </c>
      <c r="AI53" s="203">
        <f>(AH53-R53)/R53</f>
        <v>-5.1014019081387703E-2</v>
      </c>
    </row>
    <row r="54" spans="1:35" s="6" customFormat="1" ht="15" customHeight="1" thickBot="1" x14ac:dyDescent="0.3">
      <c r="A54" s="222" t="s">
        <v>157</v>
      </c>
      <c r="B54" s="222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</row>
    <row r="55" spans="1:35" s="6" customFormat="1" ht="13.5" thickBot="1" x14ac:dyDescent="0.3">
      <c r="A55" s="59" t="s">
        <v>158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>
        <f>R15/R18</f>
        <v>7007.0492957746483</v>
      </c>
      <c r="S55" s="75">
        <f t="shared" ref="S55:AH55" si="65">S15/S18</f>
        <v>6683.8802816901407</v>
      </c>
      <c r="T55" s="75">
        <f t="shared" si="65"/>
        <v>7283.4436619718308</v>
      </c>
      <c r="U55" s="75">
        <f t="shared" si="65"/>
        <v>7336.3098591549297</v>
      </c>
      <c r="V55" s="75">
        <f t="shared" si="65"/>
        <v>7868.5492957746483</v>
      </c>
      <c r="W55" s="75">
        <f t="shared" si="65"/>
        <v>8524.0352112676064</v>
      </c>
      <c r="X55" s="75">
        <f t="shared" si="65"/>
        <v>7959.8309859154933</v>
      </c>
      <c r="Y55" s="75">
        <f t="shared" si="65"/>
        <v>8079.0070422535209</v>
      </c>
      <c r="Z55" s="75">
        <f t="shared" si="65"/>
        <v>9190.3661971830988</v>
      </c>
      <c r="AA55" s="75">
        <f t="shared" si="65"/>
        <v>9195.4507042253517</v>
      </c>
      <c r="AB55" s="75">
        <f t="shared" si="65"/>
        <v>8655.5</v>
      </c>
      <c r="AC55" s="75">
        <f t="shared" si="65"/>
        <v>5442.7676056338032</v>
      </c>
      <c r="AD55" s="75">
        <f t="shared" si="65"/>
        <v>4327.140845070423</v>
      </c>
      <c r="AE55" s="75">
        <f t="shared" si="65"/>
        <v>4982.7042253521131</v>
      </c>
      <c r="AF55" s="75">
        <f t="shared" si="65"/>
        <v>5828.7848028169019</v>
      </c>
      <c r="AG55" s="75">
        <f t="shared" si="65"/>
        <v>5329.1348732394363</v>
      </c>
      <c r="AH55" s="75">
        <f t="shared" si="65"/>
        <v>6649.5915492957747</v>
      </c>
      <c r="AI55" s="198">
        <f>(AH55-R55)/R55</f>
        <v>-5.1014019081387904E-2</v>
      </c>
    </row>
    <row r="56" spans="1:35" s="6" customFormat="1" ht="15" customHeight="1" thickBot="1" x14ac:dyDescent="0.3">
      <c r="A56" s="222" t="s">
        <v>159</v>
      </c>
      <c r="B56" s="222"/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</row>
    <row r="57" spans="1:35" s="6" customFormat="1" ht="23.25" thickBot="1" x14ac:dyDescent="0.3">
      <c r="A57" s="59" t="s">
        <v>160</v>
      </c>
      <c r="B57" s="75"/>
      <c r="C57" s="214">
        <f>C10/(C9+C8)</f>
        <v>4.1043262919790491E-2</v>
      </c>
      <c r="D57" s="214">
        <f t="shared" ref="D57:AH57" si="66">D10/(D9+D8)</f>
        <v>3.4457704848469141E-2</v>
      </c>
      <c r="E57" s="214">
        <f t="shared" si="66"/>
        <v>2.6541323866325607E-2</v>
      </c>
      <c r="F57" s="214">
        <f t="shared" si="66"/>
        <v>2.7360638468463448E-2</v>
      </c>
      <c r="G57" s="214">
        <f t="shared" si="66"/>
        <v>2.5894221675638551E-2</v>
      </c>
      <c r="H57" s="214">
        <f t="shared" si="66"/>
        <v>2.2603452894261595E-2</v>
      </c>
      <c r="I57" s="214">
        <f t="shared" si="66"/>
        <v>2.9061510068266374E-2</v>
      </c>
      <c r="J57" s="214">
        <f t="shared" si="66"/>
        <v>2.9799973457928529E-2</v>
      </c>
      <c r="K57" s="214">
        <f t="shared" si="66"/>
        <v>3.4017005951592405E-2</v>
      </c>
      <c r="L57" s="214">
        <f t="shared" si="66"/>
        <v>4.7603344065693116E-2</v>
      </c>
      <c r="M57" s="214">
        <f t="shared" si="66"/>
        <v>8.5537795494364299E-2</v>
      </c>
      <c r="N57" s="214">
        <f t="shared" si="66"/>
        <v>7.3712558982157547E-2</v>
      </c>
      <c r="O57" s="214">
        <f t="shared" si="66"/>
        <v>5.121914809088756E-2</v>
      </c>
      <c r="P57" s="214">
        <f t="shared" si="66"/>
        <v>2.3070352070075992E-2</v>
      </c>
      <c r="Q57" s="214">
        <f t="shared" si="66"/>
        <v>2.635876757572047E-2</v>
      </c>
      <c r="R57" s="214">
        <f t="shared" si="66"/>
        <v>2.7268312436923212E-2</v>
      </c>
      <c r="S57" s="214">
        <f t="shared" si="66"/>
        <v>2.3199726665843461E-2</v>
      </c>
      <c r="T57" s="214">
        <f t="shared" si="66"/>
        <v>2.2204726131177452E-2</v>
      </c>
      <c r="U57" s="214">
        <f t="shared" si="66"/>
        <v>1.9453985709993109E-2</v>
      </c>
      <c r="V57" s="214">
        <f t="shared" si="66"/>
        <v>9.2012430869735167E-4</v>
      </c>
      <c r="W57" s="214">
        <f t="shared" si="66"/>
        <v>8.7718101265379499E-4</v>
      </c>
      <c r="X57" s="214">
        <f t="shared" si="66"/>
        <v>7.2023908335154822E-4</v>
      </c>
      <c r="Y57" s="214">
        <f t="shared" si="66"/>
        <v>4.3620237919652299E-4</v>
      </c>
      <c r="Z57" s="214">
        <f t="shared" si="66"/>
        <v>3.5349022569261388E-4</v>
      </c>
      <c r="AA57" s="214">
        <f t="shared" si="66"/>
        <v>4.1517670621971027E-4</v>
      </c>
      <c r="AB57" s="214">
        <f t="shared" si="66"/>
        <v>8.0012152037190626E-4</v>
      </c>
      <c r="AC57" s="214">
        <f t="shared" si="66"/>
        <v>5.1461807093594186E-3</v>
      </c>
      <c r="AD57" s="214">
        <f t="shared" si="66"/>
        <v>5.3697335987997624E-4</v>
      </c>
      <c r="AE57" s="214">
        <f t="shared" si="66"/>
        <v>4.1598136635384722E-4</v>
      </c>
      <c r="AF57" s="214">
        <f t="shared" si="66"/>
        <v>3.5610747479224131E-4</v>
      </c>
      <c r="AG57" s="214">
        <f t="shared" si="66"/>
        <v>1.1717305862144842E-3</v>
      </c>
      <c r="AH57" s="214">
        <f t="shared" si="66"/>
        <v>1.7415203455553615E-3</v>
      </c>
      <c r="AI57" s="198">
        <f>(AH57-C57)/C57</f>
        <v>-0.95756866726315704</v>
      </c>
    </row>
    <row r="58" spans="1:35" s="6" customFormat="1" ht="15" customHeight="1" thickBot="1" x14ac:dyDescent="0.3">
      <c r="A58" s="222" t="s">
        <v>161</v>
      </c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</row>
    <row r="59" spans="1:35" s="6" customFormat="1" ht="12.75" x14ac:dyDescent="0.25">
      <c r="A59" s="59" t="s">
        <v>170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215">
        <f>Q11/Q17</f>
        <v>7.9370000000000003</v>
      </c>
      <c r="R59" s="215">
        <f t="shared" ref="R59:AG59" si="67">R11/R17</f>
        <v>8.3565000000000005</v>
      </c>
      <c r="S59" s="215">
        <f t="shared" si="67"/>
        <v>7.9205833333333331</v>
      </c>
      <c r="T59" s="215">
        <f t="shared" si="67"/>
        <v>5.5851666666666668</v>
      </c>
      <c r="U59" s="215">
        <f t="shared" si="67"/>
        <v>7.182833333333333</v>
      </c>
      <c r="V59" s="215">
        <f t="shared" si="67"/>
        <v>7.7485833333333334</v>
      </c>
      <c r="W59" s="215">
        <f t="shared" si="67"/>
        <v>7.6467499999999999</v>
      </c>
      <c r="X59" s="215">
        <f t="shared" si="67"/>
        <v>9.3267500000000005</v>
      </c>
      <c r="Y59" s="215">
        <f t="shared" si="67"/>
        <v>9.2727500000000003</v>
      </c>
      <c r="Z59" s="215">
        <f t="shared" si="67"/>
        <v>8.6222499999999993</v>
      </c>
      <c r="AA59" s="215">
        <f t="shared" si="67"/>
        <v>5.6872499999999997</v>
      </c>
      <c r="AB59" s="215">
        <f t="shared" si="67"/>
        <v>5.1483333333333334</v>
      </c>
      <c r="AC59" s="215">
        <f t="shared" si="67"/>
        <v>1.0784166666666666</v>
      </c>
      <c r="AD59" s="215">
        <f t="shared" si="67"/>
        <v>2.0893333333333333</v>
      </c>
      <c r="AE59" s="215">
        <f t="shared" si="67"/>
        <v>2.2170000000000001</v>
      </c>
      <c r="AF59" s="215">
        <f t="shared" si="67"/>
        <v>2.0943333333333332</v>
      </c>
      <c r="AG59" s="215">
        <f t="shared" si="67"/>
        <v>1.6772499999999999</v>
      </c>
      <c r="AH59" s="215">
        <f t="shared" ref="AH59" si="68">AH11/AH17</f>
        <v>1.8855833333333334</v>
      </c>
      <c r="AI59" s="198">
        <f>(AH59-Q59)/Q59</f>
        <v>-0.76243122926378559</v>
      </c>
    </row>
    <row r="60" spans="1:35" s="6" customFormat="1" ht="20.25" customHeight="1" thickBot="1" x14ac:dyDescent="0.3">
      <c r="A60" s="76" t="s">
        <v>169</v>
      </c>
      <c r="B60" s="79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9">
        <f>(Q9+Q10)/Q11</f>
        <v>10.204306832976355</v>
      </c>
      <c r="R60" s="139">
        <f t="shared" ref="R60:AG60" si="69">(R9+R10)/R11</f>
        <v>8.3903248967869324</v>
      </c>
      <c r="S60" s="139">
        <f t="shared" si="69"/>
        <v>10.172020158447927</v>
      </c>
      <c r="T60" s="139">
        <f t="shared" si="69"/>
        <v>14.119900928053475</v>
      </c>
      <c r="U60" s="139">
        <f t="shared" si="69"/>
        <v>11.487493329002019</v>
      </c>
      <c r="V60" s="139">
        <f t="shared" si="69"/>
        <v>11.239785767290796</v>
      </c>
      <c r="W60" s="139">
        <f t="shared" si="69"/>
        <v>10.771384357188785</v>
      </c>
      <c r="X60" s="139">
        <f t="shared" si="69"/>
        <v>9.7245735831524023</v>
      </c>
      <c r="Y60" s="139">
        <f t="shared" si="69"/>
        <v>9.3447287302400408</v>
      </c>
      <c r="Z60" s="139">
        <f t="shared" si="69"/>
        <v>10.945596180424676</v>
      </c>
      <c r="AA60" s="139">
        <f t="shared" si="69"/>
        <v>13.673480152973758</v>
      </c>
      <c r="AB60" s="139">
        <f t="shared" si="69"/>
        <v>13.474085464551635</v>
      </c>
      <c r="AC60" s="139">
        <f t="shared" si="69"/>
        <v>63.872498261339928</v>
      </c>
      <c r="AD60" s="139">
        <f t="shared" si="69"/>
        <v>34.463465220165922</v>
      </c>
      <c r="AE60" s="139">
        <f t="shared" si="69"/>
        <v>36.189595549541423</v>
      </c>
      <c r="AF60" s="139">
        <f t="shared" si="69"/>
        <v>39.157249721470635</v>
      </c>
      <c r="AG60" s="139">
        <f t="shared" si="69"/>
        <v>44.53530083966811</v>
      </c>
      <c r="AH60" s="139">
        <f t="shared" ref="AH60" si="70">(AH9+AH10)/AH11</f>
        <v>39.545100985548238</v>
      </c>
      <c r="AI60" s="216">
        <f>(AH60-Q60)/Q60</f>
        <v>2.8753343693815472</v>
      </c>
    </row>
    <row r="61" spans="1:35" s="6" customFormat="1" ht="15" customHeight="1" thickBot="1" x14ac:dyDescent="0.3">
      <c r="A61" s="222" t="s">
        <v>149</v>
      </c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</row>
    <row r="62" spans="1:35" s="6" customFormat="1" ht="13.5" thickBot="1" x14ac:dyDescent="0.3">
      <c r="A62" s="74" t="s">
        <v>162</v>
      </c>
      <c r="B62" s="217"/>
      <c r="C62" s="218">
        <f>C17/(C8+C9+C10)</f>
        <v>1.9917296744816604E-3</v>
      </c>
      <c r="D62" s="218">
        <f t="shared" ref="D62:AH62" si="71">D17/(D8+D9+D10)</f>
        <v>1.7381507727021682E-3</v>
      </c>
      <c r="E62" s="218">
        <f t="shared" si="71"/>
        <v>1.902625528097498E-3</v>
      </c>
      <c r="F62" s="218">
        <f t="shared" si="71"/>
        <v>1.9968237190708645E-3</v>
      </c>
      <c r="G62" s="218">
        <f t="shared" si="71"/>
        <v>2.1031087627954451E-3</v>
      </c>
      <c r="H62" s="218">
        <f t="shared" si="71"/>
        <v>2.1124700161287086E-3</v>
      </c>
      <c r="I62" s="218">
        <f t="shared" si="71"/>
        <v>2.4121621214161803E-3</v>
      </c>
      <c r="J62" s="218">
        <f t="shared" si="71"/>
        <v>2.1330212486244233E-3</v>
      </c>
      <c r="K62" s="218">
        <f t="shared" si="71"/>
        <v>2.2776444828522791E-3</v>
      </c>
      <c r="L62" s="218">
        <f t="shared" si="71"/>
        <v>2.4029739205240408E-3</v>
      </c>
      <c r="M62" s="218">
        <f t="shared" si="71"/>
        <v>2.1844892163600037E-3</v>
      </c>
      <c r="N62" s="218">
        <f t="shared" si="71"/>
        <v>2.4971870228681983E-3</v>
      </c>
      <c r="O62" s="218">
        <f t="shared" si="71"/>
        <v>1.3118628036388452E-3</v>
      </c>
      <c r="P62" s="218">
        <f t="shared" si="71"/>
        <v>2.2425278970470393E-3</v>
      </c>
      <c r="Q62" s="218">
        <f t="shared" si="71"/>
        <v>2.0278995033843109E-3</v>
      </c>
      <c r="R62" s="218">
        <f t="shared" si="71"/>
        <v>1.8478478962482682E-3</v>
      </c>
      <c r="S62" s="218">
        <f t="shared" si="71"/>
        <v>1.8542572355435152E-3</v>
      </c>
      <c r="T62" s="218">
        <f t="shared" si="71"/>
        <v>1.7581621579330694E-3</v>
      </c>
      <c r="U62" s="218">
        <f t="shared" si="71"/>
        <v>1.6291940716343057E-3</v>
      </c>
      <c r="V62" s="218">
        <f t="shared" si="71"/>
        <v>1.4499660224628736E-3</v>
      </c>
      <c r="W62" s="218">
        <f t="shared" si="71"/>
        <v>1.4478175778808221E-3</v>
      </c>
      <c r="X62" s="218">
        <f t="shared" si="71"/>
        <v>1.4593863718122442E-3</v>
      </c>
      <c r="Y62" s="218">
        <f t="shared" si="71"/>
        <v>1.3682390888348612E-3</v>
      </c>
      <c r="Z62" s="218">
        <f t="shared" si="71"/>
        <v>1.4521862240048076E-3</v>
      </c>
      <c r="AA62" s="218">
        <f t="shared" si="71"/>
        <v>1.5022783929677346E-3</v>
      </c>
      <c r="AB62" s="218">
        <f t="shared" si="71"/>
        <v>1.8378892821801778E-3</v>
      </c>
      <c r="AC62" s="218">
        <f t="shared" si="71"/>
        <v>2.6349014656639404E-3</v>
      </c>
      <c r="AD62" s="218">
        <f t="shared" si="71"/>
        <v>2.5812513390241322E-3</v>
      </c>
      <c r="AE62" s="218">
        <f t="shared" si="71"/>
        <v>2.1732146226919103E-3</v>
      </c>
      <c r="AF62" s="218">
        <f t="shared" si="71"/>
        <v>2.2225642501651644E-3</v>
      </c>
      <c r="AG62" s="218">
        <f t="shared" si="71"/>
        <v>2.2144924134258033E-3</v>
      </c>
      <c r="AH62" s="218">
        <f t="shared" si="71"/>
        <v>1.8581912088044817E-3</v>
      </c>
      <c r="AI62" s="220">
        <f>(AH62-C62)/C62</f>
        <v>-6.7046480949746162E-2</v>
      </c>
    </row>
    <row r="63" spans="1:35" s="6" customFormat="1" ht="11.1" customHeight="1" x14ac:dyDescent="0.25">
      <c r="A63" s="53" t="s">
        <v>19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21"/>
      <c r="P63" s="21"/>
      <c r="Q63" s="21"/>
      <c r="R63" s="17"/>
      <c r="S63" s="17"/>
      <c r="T63" s="17"/>
      <c r="U63" s="17"/>
      <c r="V63" s="3"/>
      <c r="W63" s="15"/>
      <c r="X63" s="3"/>
      <c r="Y63" s="16"/>
      <c r="Z63" s="3"/>
      <c r="AA63" s="17"/>
    </row>
    <row r="64" spans="1:35" s="6" customFormat="1" ht="11.1" customHeight="1" x14ac:dyDescent="0.25">
      <c r="A64" s="53" t="s">
        <v>8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21"/>
      <c r="P64" s="21"/>
      <c r="Q64" s="21"/>
      <c r="R64" s="17"/>
      <c r="S64" s="17"/>
      <c r="T64" s="17"/>
      <c r="U64" s="17"/>
      <c r="V64" s="3"/>
      <c r="W64" s="15"/>
      <c r="X64" s="3"/>
      <c r="Y64" s="18"/>
      <c r="Z64" s="3"/>
      <c r="AA64" s="17"/>
    </row>
  </sheetData>
  <mergeCells count="15">
    <mergeCell ref="A50:AI50"/>
    <mergeCell ref="A54:AI54"/>
    <mergeCell ref="A56:AI56"/>
    <mergeCell ref="A58:AI58"/>
    <mergeCell ref="A61:AI61"/>
    <mergeCell ref="A37:AI37"/>
    <mergeCell ref="A40:AI40"/>
    <mergeCell ref="A43:AI43"/>
    <mergeCell ref="A47:AI47"/>
    <mergeCell ref="A4:AI4"/>
    <mergeCell ref="A19:AI19"/>
    <mergeCell ref="A20:AI20"/>
    <mergeCell ref="A26:AI26"/>
    <mergeCell ref="A32:AI32"/>
    <mergeCell ref="A16:AI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0085F-757B-4910-9B4A-F3845271B1AB}">
  <dimension ref="A1:O38"/>
  <sheetViews>
    <sheetView workbookViewId="0"/>
  </sheetViews>
  <sheetFormatPr defaultRowHeight="15" x14ac:dyDescent="0.25"/>
  <cols>
    <col min="1" max="1" width="44.85546875" style="7" bestFit="1" customWidth="1"/>
    <col min="2" max="2" width="8.7109375" style="8" customWidth="1"/>
    <col min="3" max="13" width="8.7109375" customWidth="1"/>
    <col min="14" max="14" width="17" style="8" bestFit="1" customWidth="1"/>
    <col min="15" max="15" width="10" style="8" customWidth="1"/>
  </cols>
  <sheetData>
    <row r="1" spans="1:15" s="6" customFormat="1" ht="18.75" x14ac:dyDescent="0.25">
      <c r="A1" s="162" t="s">
        <v>248</v>
      </c>
      <c r="B1" s="19"/>
      <c r="C1" s="2"/>
      <c r="D1" s="3"/>
      <c r="E1" s="3"/>
      <c r="F1" s="3"/>
      <c r="G1" s="3"/>
      <c r="H1" s="4"/>
      <c r="I1" s="3"/>
      <c r="J1" s="3"/>
      <c r="K1" s="3"/>
      <c r="L1" s="3"/>
      <c r="M1" s="3"/>
      <c r="N1" s="5"/>
      <c r="O1" s="5"/>
    </row>
    <row r="2" spans="1:15" ht="5.0999999999999996" customHeight="1" thickBot="1" x14ac:dyDescent="0.3">
      <c r="B2"/>
      <c r="F2" s="8"/>
      <c r="N2"/>
      <c r="O2"/>
    </row>
    <row r="3" spans="1:15" s="56" customFormat="1" ht="15" customHeight="1" thickBot="1" x14ac:dyDescent="0.3">
      <c r="A3" s="48" t="s">
        <v>0</v>
      </c>
      <c r="B3" s="9">
        <v>2014</v>
      </c>
      <c r="C3" s="9">
        <v>2015</v>
      </c>
      <c r="D3" s="9">
        <v>2016</v>
      </c>
      <c r="E3" s="9">
        <v>2017</v>
      </c>
      <c r="F3" s="9">
        <v>2018</v>
      </c>
      <c r="G3" s="9">
        <v>2019</v>
      </c>
      <c r="H3" s="9">
        <v>2020</v>
      </c>
      <c r="I3" s="9">
        <v>2021</v>
      </c>
      <c r="J3" s="9">
        <v>2022</v>
      </c>
      <c r="K3" s="9">
        <v>2023</v>
      </c>
      <c r="L3" s="9">
        <v>2024</v>
      </c>
      <c r="M3" s="9">
        <v>2025</v>
      </c>
      <c r="N3" s="54" t="s">
        <v>249</v>
      </c>
      <c r="O3" s="55"/>
    </row>
    <row r="4" spans="1:15" s="58" customFormat="1" ht="15" customHeight="1" thickBot="1" x14ac:dyDescent="0.3">
      <c r="A4" s="225" t="s">
        <v>36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57"/>
    </row>
    <row r="5" spans="1:15" s="6" customFormat="1" ht="15" customHeight="1" x14ac:dyDescent="0.25">
      <c r="A5" s="49" t="s">
        <v>9</v>
      </c>
      <c r="B5" s="39">
        <v>120</v>
      </c>
      <c r="C5" s="39">
        <v>74</v>
      </c>
      <c r="D5" s="44">
        <v>75</v>
      </c>
      <c r="E5" s="44">
        <v>112</v>
      </c>
      <c r="F5" s="44">
        <v>147</v>
      </c>
      <c r="G5" s="44">
        <v>105</v>
      </c>
      <c r="H5" s="44">
        <v>388</v>
      </c>
      <c r="I5" s="40">
        <v>425</v>
      </c>
      <c r="J5" s="44">
        <v>380</v>
      </c>
      <c r="K5" s="44">
        <v>339</v>
      </c>
      <c r="L5" s="44">
        <v>340</v>
      </c>
      <c r="M5" s="227">
        <f>26+28+27+28+27+28+26+27+27+30+26+26</f>
        <v>326</v>
      </c>
      <c r="N5" s="34">
        <f>(M5-B5)/B5</f>
        <v>1.7166666666666666</v>
      </c>
      <c r="O5" s="43"/>
    </row>
    <row r="6" spans="1:15" s="6" customFormat="1" ht="15" customHeight="1" x14ac:dyDescent="0.25">
      <c r="A6" s="49" t="s">
        <v>10</v>
      </c>
      <c r="B6" s="39">
        <v>750</v>
      </c>
      <c r="C6" s="39">
        <v>796</v>
      </c>
      <c r="D6" s="44">
        <v>976</v>
      </c>
      <c r="E6" s="44">
        <v>906</v>
      </c>
      <c r="F6" s="44">
        <v>887</v>
      </c>
      <c r="G6" s="44">
        <v>878</v>
      </c>
      <c r="H6" s="44">
        <v>798</v>
      </c>
      <c r="I6" s="40">
        <v>689</v>
      </c>
      <c r="J6" s="44">
        <v>736</v>
      </c>
      <c r="K6" s="44">
        <v>801</v>
      </c>
      <c r="L6" s="44">
        <v>879</v>
      </c>
      <c r="M6" s="44">
        <f>80+64+90+54+72+54+83+67+61+76+58+62</f>
        <v>821</v>
      </c>
      <c r="N6" s="32">
        <f t="shared" ref="N6:N10" si="0">(M6-B6)/B6</f>
        <v>9.4666666666666663E-2</v>
      </c>
      <c r="O6" s="38"/>
    </row>
    <row r="7" spans="1:15" s="6" customFormat="1" ht="15" customHeight="1" x14ac:dyDescent="0.25">
      <c r="A7" s="50" t="s">
        <v>11</v>
      </c>
      <c r="B7" s="28">
        <v>919</v>
      </c>
      <c r="C7" s="28">
        <v>893</v>
      </c>
      <c r="D7" s="45">
        <v>945</v>
      </c>
      <c r="E7" s="45">
        <v>954</v>
      </c>
      <c r="F7" s="45">
        <v>865</v>
      </c>
      <c r="G7" s="45">
        <v>843</v>
      </c>
      <c r="H7" s="45">
        <v>663</v>
      </c>
      <c r="I7" s="41">
        <v>663</v>
      </c>
      <c r="J7" s="45">
        <v>639</v>
      </c>
      <c r="K7" s="45">
        <v>708</v>
      </c>
      <c r="L7" s="45">
        <v>691</v>
      </c>
      <c r="M7" s="45">
        <f>66+56+63+72+62+58+67+67+71+69+62+65</f>
        <v>778</v>
      </c>
      <c r="N7" s="11">
        <f t="shared" si="0"/>
        <v>-0.15342763873775844</v>
      </c>
      <c r="O7" s="43"/>
    </row>
    <row r="8" spans="1:15" s="6" customFormat="1" ht="15" customHeight="1" x14ac:dyDescent="0.25">
      <c r="A8" s="50" t="s">
        <v>12</v>
      </c>
      <c r="B8" s="28">
        <v>164</v>
      </c>
      <c r="C8" s="28">
        <v>167</v>
      </c>
      <c r="D8" s="45">
        <v>141</v>
      </c>
      <c r="E8" s="45">
        <v>145</v>
      </c>
      <c r="F8" s="45">
        <v>223</v>
      </c>
      <c r="G8" s="45">
        <v>151</v>
      </c>
      <c r="H8" s="45">
        <v>141</v>
      </c>
      <c r="I8" s="41">
        <v>80</v>
      </c>
      <c r="J8" s="45">
        <v>72</v>
      </c>
      <c r="K8" s="45">
        <v>82</v>
      </c>
      <c r="L8" s="45">
        <v>104</v>
      </c>
      <c r="M8" s="45">
        <f>8+5+6+7+8+4+5+4+6+6+3+7</f>
        <v>69</v>
      </c>
      <c r="N8" s="11">
        <f t="shared" si="0"/>
        <v>-0.57926829268292679</v>
      </c>
      <c r="O8" s="43"/>
    </row>
    <row r="9" spans="1:15" s="6" customFormat="1" ht="15" customHeight="1" thickBot="1" x14ac:dyDescent="0.3">
      <c r="A9" s="50" t="s">
        <v>13</v>
      </c>
      <c r="B9" s="28">
        <v>147</v>
      </c>
      <c r="C9" s="28">
        <v>120</v>
      </c>
      <c r="D9" s="45">
        <v>118</v>
      </c>
      <c r="E9" s="45">
        <v>145</v>
      </c>
      <c r="F9" s="45">
        <v>120</v>
      </c>
      <c r="G9" s="45">
        <v>157</v>
      </c>
      <c r="H9" s="45">
        <v>89</v>
      </c>
      <c r="I9" s="41">
        <v>33</v>
      </c>
      <c r="J9" s="45">
        <v>40</v>
      </c>
      <c r="K9" s="45">
        <v>60</v>
      </c>
      <c r="L9" s="45">
        <v>27</v>
      </c>
      <c r="M9" s="45">
        <f>2+3+2+3+4+5+5+6+4+7+7</f>
        <v>48</v>
      </c>
      <c r="N9" s="33">
        <f t="shared" si="0"/>
        <v>-0.67346938775510201</v>
      </c>
      <c r="O9" s="38"/>
    </row>
    <row r="10" spans="1:15" s="6" customFormat="1" ht="15" customHeight="1" thickBot="1" x14ac:dyDescent="0.3">
      <c r="A10" s="51" t="s">
        <v>16</v>
      </c>
      <c r="B10" s="31">
        <f>SUM(B5:B9)</f>
        <v>2100</v>
      </c>
      <c r="C10" s="31">
        <f t="shared" ref="C10:M10" si="1">SUM(C5:C9)</f>
        <v>2050</v>
      </c>
      <c r="D10" s="31">
        <f t="shared" si="1"/>
        <v>2255</v>
      </c>
      <c r="E10" s="31">
        <f t="shared" si="1"/>
        <v>2262</v>
      </c>
      <c r="F10" s="31">
        <f t="shared" si="1"/>
        <v>2242</v>
      </c>
      <c r="G10" s="31">
        <f t="shared" si="1"/>
        <v>2134</v>
      </c>
      <c r="H10" s="31">
        <f t="shared" si="1"/>
        <v>2079</v>
      </c>
      <c r="I10" s="31">
        <f t="shared" si="1"/>
        <v>1890</v>
      </c>
      <c r="J10" s="31">
        <f t="shared" si="1"/>
        <v>1867</v>
      </c>
      <c r="K10" s="31">
        <f t="shared" si="1"/>
        <v>1990</v>
      </c>
      <c r="L10" s="31">
        <f t="shared" si="1"/>
        <v>2041</v>
      </c>
      <c r="M10" s="31">
        <f t="shared" si="1"/>
        <v>2042</v>
      </c>
      <c r="N10" s="13">
        <f t="shared" si="0"/>
        <v>-2.7619047619047619E-2</v>
      </c>
      <c r="O10" s="38"/>
    </row>
    <row r="11" spans="1:15" s="6" customFormat="1" ht="15" customHeight="1" thickBot="1" x14ac:dyDescent="0.3">
      <c r="A11" s="225" t="s">
        <v>14</v>
      </c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36"/>
    </row>
    <row r="12" spans="1:15" s="6" customFormat="1" ht="15" customHeight="1" x14ac:dyDescent="0.25">
      <c r="A12" s="49" t="s">
        <v>9</v>
      </c>
      <c r="B12" s="22">
        <v>26894</v>
      </c>
      <c r="C12" s="22">
        <v>41105</v>
      </c>
      <c r="D12" s="23">
        <v>28295</v>
      </c>
      <c r="E12" s="23">
        <v>29846</v>
      </c>
      <c r="F12" s="23">
        <v>33731</v>
      </c>
      <c r="G12" s="23">
        <v>17710</v>
      </c>
      <c r="H12" s="23">
        <v>13028</v>
      </c>
      <c r="I12" s="40">
        <v>6078</v>
      </c>
      <c r="J12" s="40">
        <v>6520</v>
      </c>
      <c r="K12" s="40">
        <v>5765</v>
      </c>
      <c r="L12" s="40">
        <v>6049</v>
      </c>
      <c r="M12" s="228">
        <f>538+468+694+425+946+215</f>
        <v>3286</v>
      </c>
      <c r="N12" s="13">
        <f>(M12-B12)/B12</f>
        <v>-0.87781661337101213</v>
      </c>
      <c r="O12" s="43"/>
    </row>
    <row r="13" spans="1:15" s="10" customFormat="1" ht="12.75" x14ac:dyDescent="0.25">
      <c r="A13" s="49" t="s">
        <v>10</v>
      </c>
      <c r="B13" s="22">
        <v>1077991</v>
      </c>
      <c r="C13" s="22">
        <v>1576325</v>
      </c>
      <c r="D13" s="23">
        <v>1841766</v>
      </c>
      <c r="E13" s="23">
        <v>1693552</v>
      </c>
      <c r="F13" s="23">
        <v>1614869</v>
      </c>
      <c r="G13" s="23">
        <v>1478146</v>
      </c>
      <c r="H13" s="23">
        <v>1346028</v>
      </c>
      <c r="I13" s="40">
        <v>1406799</v>
      </c>
      <c r="J13" s="40">
        <v>1400556</v>
      </c>
      <c r="K13" s="40">
        <v>1322480</v>
      </c>
      <c r="L13" s="40">
        <v>1409958</v>
      </c>
      <c r="M13" s="40">
        <f>149485+125497+187297+139562+159298+123277+143721+136251+115239+138094+123550+102131</f>
        <v>1643402</v>
      </c>
      <c r="N13" s="32">
        <f t="shared" ref="N13:N17" si="2">(M13-B13)/B13</f>
        <v>0.52450437897904523</v>
      </c>
      <c r="O13" s="38"/>
    </row>
    <row r="14" spans="1:15" s="6" customFormat="1" ht="15" customHeight="1" x14ac:dyDescent="0.25">
      <c r="A14" s="50" t="s">
        <v>11</v>
      </c>
      <c r="B14" s="24">
        <v>2861961</v>
      </c>
      <c r="C14" s="24">
        <v>3792021</v>
      </c>
      <c r="D14" s="25">
        <v>6122910</v>
      </c>
      <c r="E14" s="25">
        <v>3545795</v>
      </c>
      <c r="F14" s="25">
        <v>2776341</v>
      </c>
      <c r="G14" s="25">
        <v>2022937</v>
      </c>
      <c r="H14" s="25">
        <v>1354476</v>
      </c>
      <c r="I14" s="41">
        <v>1745507</v>
      </c>
      <c r="J14" s="41">
        <v>1904660</v>
      </c>
      <c r="K14" s="41">
        <v>2310961</v>
      </c>
      <c r="L14" s="41">
        <v>2396871</v>
      </c>
      <c r="M14" s="41">
        <f>185789+187199+237996+254131+233397+209768+235041+272208+237977+240541+257030+276142</f>
        <v>2827219</v>
      </c>
      <c r="N14" s="11">
        <f t="shared" si="2"/>
        <v>-1.2139229011157035E-2</v>
      </c>
      <c r="O14" s="43"/>
    </row>
    <row r="15" spans="1:15" s="6" customFormat="1" ht="15" customHeight="1" x14ac:dyDescent="0.25">
      <c r="A15" s="50" t="s">
        <v>12</v>
      </c>
      <c r="B15" s="24">
        <v>1079192</v>
      </c>
      <c r="C15" s="24">
        <v>1073919</v>
      </c>
      <c r="D15" s="25">
        <v>977910</v>
      </c>
      <c r="E15" s="25">
        <v>1519554</v>
      </c>
      <c r="F15" s="25">
        <v>1844318</v>
      </c>
      <c r="G15" s="25">
        <v>1046255</v>
      </c>
      <c r="H15" s="25">
        <v>669506</v>
      </c>
      <c r="I15" s="41">
        <v>419690</v>
      </c>
      <c r="J15" s="41">
        <v>514658</v>
      </c>
      <c r="K15" s="41">
        <v>472128</v>
      </c>
      <c r="L15" s="41">
        <v>572028</v>
      </c>
      <c r="M15" s="41">
        <f>67709+18818+40886+51658+76805+63959+43148+45315+59875+39532+31362+47881</f>
        <v>586948</v>
      </c>
      <c r="N15" s="11">
        <f t="shared" si="2"/>
        <v>-0.4561227288564037</v>
      </c>
      <c r="O15" s="43"/>
    </row>
    <row r="16" spans="1:15" s="6" customFormat="1" ht="13.5" thickBot="1" x14ac:dyDescent="0.3">
      <c r="A16" s="50" t="s">
        <v>13</v>
      </c>
      <c r="B16" s="24">
        <v>1080815</v>
      </c>
      <c r="C16" s="24">
        <v>802455</v>
      </c>
      <c r="D16" s="25">
        <v>632126</v>
      </c>
      <c r="E16" s="25">
        <v>938507</v>
      </c>
      <c r="F16" s="25">
        <v>872325</v>
      </c>
      <c r="G16" s="25">
        <v>1164055</v>
      </c>
      <c r="H16" s="25">
        <v>403344</v>
      </c>
      <c r="I16" s="41">
        <v>241104</v>
      </c>
      <c r="J16" s="41">
        <v>293636</v>
      </c>
      <c r="K16" s="41">
        <v>307743</v>
      </c>
      <c r="L16" s="41">
        <v>137578</v>
      </c>
      <c r="M16" s="41">
        <f>19809+25321+19483+42155+51593+66636+36253+57153+23366+57078+67345</f>
        <v>466192</v>
      </c>
      <c r="N16" s="33">
        <f t="shared" si="2"/>
        <v>-0.56866623797782234</v>
      </c>
      <c r="O16" s="38"/>
    </row>
    <row r="17" spans="1:15" s="6" customFormat="1" ht="15" customHeight="1" thickBot="1" x14ac:dyDescent="0.3">
      <c r="A17" s="51" t="s">
        <v>16</v>
      </c>
      <c r="B17" s="31">
        <f>SUM(B12:B16)</f>
        <v>6126853</v>
      </c>
      <c r="C17" s="31">
        <f t="shared" ref="C17:M17" si="3">SUM(C12:C16)</f>
        <v>7285825</v>
      </c>
      <c r="D17" s="31">
        <f t="shared" si="3"/>
        <v>9603007</v>
      </c>
      <c r="E17" s="31">
        <f t="shared" si="3"/>
        <v>7727254</v>
      </c>
      <c r="F17" s="31">
        <f t="shared" si="3"/>
        <v>7141584</v>
      </c>
      <c r="G17" s="31">
        <f t="shared" si="3"/>
        <v>5729103</v>
      </c>
      <c r="H17" s="31">
        <f t="shared" si="3"/>
        <v>3786382</v>
      </c>
      <c r="I17" s="31">
        <f t="shared" si="3"/>
        <v>3819178</v>
      </c>
      <c r="J17" s="31">
        <f t="shared" si="3"/>
        <v>4120030</v>
      </c>
      <c r="K17" s="31">
        <f t="shared" si="3"/>
        <v>4419077</v>
      </c>
      <c r="L17" s="31">
        <f t="shared" si="3"/>
        <v>4522484</v>
      </c>
      <c r="M17" s="31">
        <f t="shared" si="3"/>
        <v>5527047</v>
      </c>
      <c r="N17" s="13">
        <f t="shared" si="2"/>
        <v>-9.7897893094546259E-2</v>
      </c>
      <c r="O17" s="38"/>
    </row>
    <row r="18" spans="1:15" s="6" customFormat="1" ht="15" customHeight="1" thickBot="1" x14ac:dyDescent="0.3">
      <c r="A18" s="225" t="s">
        <v>15</v>
      </c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36"/>
    </row>
    <row r="19" spans="1:15" s="6" customFormat="1" ht="15" customHeight="1" x14ac:dyDescent="0.25">
      <c r="A19" s="49" t="s">
        <v>9</v>
      </c>
      <c r="B19" s="60">
        <v>0</v>
      </c>
      <c r="C19" s="60">
        <v>0</v>
      </c>
      <c r="D19" s="40">
        <v>0</v>
      </c>
      <c r="E19" s="40">
        <v>0</v>
      </c>
      <c r="F19" s="40">
        <v>0</v>
      </c>
      <c r="G19" s="40">
        <v>132</v>
      </c>
      <c r="H19" s="23">
        <v>497</v>
      </c>
      <c r="I19" s="40">
        <v>0</v>
      </c>
      <c r="J19" s="40">
        <v>0</v>
      </c>
      <c r="K19" s="40">
        <v>0</v>
      </c>
      <c r="L19" s="40">
        <v>0</v>
      </c>
      <c r="M19" s="228">
        <v>0</v>
      </c>
      <c r="N19" s="13">
        <f>(M19-G19)/G19</f>
        <v>-1</v>
      </c>
      <c r="O19" s="43"/>
    </row>
    <row r="20" spans="1:15" s="6" customFormat="1" ht="15" customHeight="1" x14ac:dyDescent="0.25">
      <c r="A20" s="49" t="s">
        <v>10</v>
      </c>
      <c r="B20" s="60">
        <v>9791</v>
      </c>
      <c r="C20" s="60">
        <v>0</v>
      </c>
      <c r="D20" s="40">
        <v>0</v>
      </c>
      <c r="E20" s="40">
        <v>13</v>
      </c>
      <c r="F20" s="40">
        <v>53309</v>
      </c>
      <c r="G20" s="40">
        <v>48355</v>
      </c>
      <c r="H20" s="23">
        <v>34140</v>
      </c>
      <c r="I20" s="40">
        <v>55991</v>
      </c>
      <c r="J20" s="40">
        <v>90664</v>
      </c>
      <c r="K20" s="40">
        <v>128985</v>
      </c>
      <c r="L20" s="40">
        <v>111083</v>
      </c>
      <c r="M20" s="40">
        <f>6531+7461+10072+6700+9456+10064+17375+9791+16021+12617+8375+9621</f>
        <v>124084</v>
      </c>
      <c r="N20" s="32">
        <f>(M20-B20)/B20</f>
        <v>11.673271371667859</v>
      </c>
      <c r="O20" s="38"/>
    </row>
    <row r="21" spans="1:15" s="6" customFormat="1" ht="15" customHeight="1" x14ac:dyDescent="0.25">
      <c r="A21" s="50" t="s">
        <v>11</v>
      </c>
      <c r="B21" s="30">
        <v>306</v>
      </c>
      <c r="C21" s="30">
        <v>0</v>
      </c>
      <c r="D21" s="41">
        <v>0</v>
      </c>
      <c r="E21" s="41">
        <v>64088</v>
      </c>
      <c r="F21" s="41">
        <v>197921</v>
      </c>
      <c r="G21" s="41">
        <v>289700</v>
      </c>
      <c r="H21" s="25">
        <v>283871</v>
      </c>
      <c r="I21" s="41">
        <v>414504</v>
      </c>
      <c r="J21" s="41">
        <v>454890</v>
      </c>
      <c r="K21" s="41">
        <v>470293</v>
      </c>
      <c r="L21" s="41">
        <v>453655</v>
      </c>
      <c r="M21" s="41">
        <f>38721+37202+38533+37007+44650+39186+54851+49215+56245+47459</f>
        <v>443069</v>
      </c>
      <c r="N21" s="32">
        <f>(M21-B21)/B21</f>
        <v>1446.937908496732</v>
      </c>
      <c r="O21" s="43"/>
    </row>
    <row r="22" spans="1:15" s="6" customFormat="1" ht="15" customHeight="1" x14ac:dyDescent="0.25">
      <c r="A22" s="50" t="s">
        <v>12</v>
      </c>
      <c r="B22" s="30">
        <v>0</v>
      </c>
      <c r="C22" s="30">
        <v>0</v>
      </c>
      <c r="D22" s="41">
        <v>0</v>
      </c>
      <c r="E22" s="41">
        <v>1830</v>
      </c>
      <c r="F22" s="41">
        <v>156857</v>
      </c>
      <c r="G22" s="41">
        <v>201884</v>
      </c>
      <c r="H22" s="25">
        <v>198601</v>
      </c>
      <c r="I22" s="41">
        <v>162462</v>
      </c>
      <c r="J22" s="41">
        <v>117303</v>
      </c>
      <c r="K22" s="41">
        <v>106675</v>
      </c>
      <c r="L22" s="41">
        <v>264193</v>
      </c>
      <c r="M22" s="41">
        <f>20242+10949+13269+14834+11088+9944+9304+10155+12909+15403+9607+18624</f>
        <v>156328</v>
      </c>
      <c r="N22" s="32">
        <f>(M22-E22)/E22</f>
        <v>84.425136612021859</v>
      </c>
      <c r="O22" s="43"/>
    </row>
    <row r="23" spans="1:15" ht="15" customHeight="1" thickBot="1" x14ac:dyDescent="0.3">
      <c r="A23" s="52" t="s">
        <v>13</v>
      </c>
      <c r="B23" s="61">
        <v>0</v>
      </c>
      <c r="C23" s="61">
        <v>0</v>
      </c>
      <c r="D23" s="62">
        <v>0</v>
      </c>
      <c r="E23" s="62">
        <v>0</v>
      </c>
      <c r="F23" s="62">
        <v>172201</v>
      </c>
      <c r="G23" s="62">
        <v>303913</v>
      </c>
      <c r="H23" s="37">
        <v>308851</v>
      </c>
      <c r="I23" s="62">
        <v>246329</v>
      </c>
      <c r="J23" s="62">
        <v>305873</v>
      </c>
      <c r="K23" s="62">
        <v>279895</v>
      </c>
      <c r="L23" s="62">
        <v>61081</v>
      </c>
      <c r="M23" s="62">
        <f>4098+4158+1288+9040+7428+6259+9290+5152+7232+15625+11861</f>
        <v>81431</v>
      </c>
      <c r="N23" s="33">
        <f>(M23-F23)/M23</f>
        <v>-1.1146860532229741</v>
      </c>
      <c r="O23" s="38"/>
    </row>
    <row r="24" spans="1:15" s="6" customFormat="1" ht="15" customHeight="1" thickBot="1" x14ac:dyDescent="0.3">
      <c r="A24" s="51" t="s">
        <v>16</v>
      </c>
      <c r="B24" s="31">
        <f>SUM(B19:B23)</f>
        <v>10097</v>
      </c>
      <c r="C24" s="31">
        <f t="shared" ref="C24:M24" si="4">SUM(C19:C23)</f>
        <v>0</v>
      </c>
      <c r="D24" s="31">
        <f t="shared" si="4"/>
        <v>0</v>
      </c>
      <c r="E24" s="31">
        <f t="shared" si="4"/>
        <v>65931</v>
      </c>
      <c r="F24" s="31">
        <f t="shared" si="4"/>
        <v>580288</v>
      </c>
      <c r="G24" s="31">
        <f t="shared" si="4"/>
        <v>843984</v>
      </c>
      <c r="H24" s="29">
        <v>825960</v>
      </c>
      <c r="I24" s="31">
        <f t="shared" si="4"/>
        <v>879286</v>
      </c>
      <c r="J24" s="31">
        <f t="shared" si="4"/>
        <v>968730</v>
      </c>
      <c r="K24" s="31">
        <f t="shared" si="4"/>
        <v>985848</v>
      </c>
      <c r="L24" s="31">
        <f t="shared" si="4"/>
        <v>890012</v>
      </c>
      <c r="M24" s="31">
        <f t="shared" si="4"/>
        <v>804912</v>
      </c>
      <c r="N24" s="63">
        <f>(M24-B24)/B24</f>
        <v>78.717936020600177</v>
      </c>
      <c r="O24" s="38"/>
    </row>
    <row r="25" spans="1:15" ht="15.75" thickBot="1" x14ac:dyDescent="0.3">
      <c r="A25" s="225" t="s">
        <v>22</v>
      </c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</row>
    <row r="26" spans="1:15" ht="15.75" thickBot="1" x14ac:dyDescent="0.3">
      <c r="A26" s="222" t="s">
        <v>60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</row>
    <row r="27" spans="1:15" s="6" customFormat="1" ht="15" customHeight="1" x14ac:dyDescent="0.25">
      <c r="A27" s="59" t="s">
        <v>61</v>
      </c>
      <c r="B27" s="82">
        <f>B17+B24</f>
        <v>6136950</v>
      </c>
      <c r="C27" s="82">
        <f t="shared" ref="C27:L27" si="5">C17+C24</f>
        <v>7285825</v>
      </c>
      <c r="D27" s="82">
        <f t="shared" si="5"/>
        <v>9603007</v>
      </c>
      <c r="E27" s="82">
        <f t="shared" si="5"/>
        <v>7793185</v>
      </c>
      <c r="F27" s="82">
        <f t="shared" si="5"/>
        <v>7721872</v>
      </c>
      <c r="G27" s="82">
        <f t="shared" si="5"/>
        <v>6573087</v>
      </c>
      <c r="H27" s="82">
        <f t="shared" si="5"/>
        <v>4612342</v>
      </c>
      <c r="I27" s="82">
        <f t="shared" si="5"/>
        <v>4698464</v>
      </c>
      <c r="J27" s="82">
        <f t="shared" si="5"/>
        <v>5088760</v>
      </c>
      <c r="K27" s="82">
        <f t="shared" si="5"/>
        <v>5404925</v>
      </c>
      <c r="L27" s="82">
        <f t="shared" si="5"/>
        <v>5412496</v>
      </c>
      <c r="M27" s="82">
        <f t="shared" ref="M27" si="6">M17+M24</f>
        <v>6331959</v>
      </c>
      <c r="N27" s="34">
        <f>(M27-B27)/B27</f>
        <v>3.1776208051230659E-2</v>
      </c>
      <c r="O27" s="38"/>
    </row>
    <row r="28" spans="1:15" s="6" customFormat="1" ht="15" customHeight="1" x14ac:dyDescent="0.25">
      <c r="A28" s="49" t="s">
        <v>62</v>
      </c>
      <c r="B28" s="83">
        <f>B24-B17</f>
        <v>-6116756</v>
      </c>
      <c r="C28" s="83">
        <f t="shared" ref="C28:L28" si="7">C24-C17</f>
        <v>-7285825</v>
      </c>
      <c r="D28" s="83">
        <f t="shared" si="7"/>
        <v>-9603007</v>
      </c>
      <c r="E28" s="83">
        <f t="shared" si="7"/>
        <v>-7661323</v>
      </c>
      <c r="F28" s="83">
        <f t="shared" si="7"/>
        <v>-6561296</v>
      </c>
      <c r="G28" s="83">
        <f t="shared" si="7"/>
        <v>-4885119</v>
      </c>
      <c r="H28" s="83">
        <f t="shared" si="7"/>
        <v>-2960422</v>
      </c>
      <c r="I28" s="83">
        <f t="shared" si="7"/>
        <v>-2939892</v>
      </c>
      <c r="J28" s="83">
        <f t="shared" si="7"/>
        <v>-3151300</v>
      </c>
      <c r="K28" s="83">
        <f t="shared" si="7"/>
        <v>-3433229</v>
      </c>
      <c r="L28" s="83">
        <f t="shared" si="7"/>
        <v>-3632472</v>
      </c>
      <c r="M28" s="83">
        <f t="shared" ref="M28" si="8">M24-M17</f>
        <v>-4722135</v>
      </c>
      <c r="N28" s="11">
        <f t="shared" ref="N28:N30" si="9">(M28-B28)/B28</f>
        <v>-0.22800010332274168</v>
      </c>
      <c r="O28" s="43"/>
    </row>
    <row r="29" spans="1:15" s="6" customFormat="1" ht="15" customHeight="1" x14ac:dyDescent="0.25">
      <c r="A29" s="49" t="s">
        <v>63</v>
      </c>
      <c r="B29" s="72">
        <f>B17/B27</f>
        <v>0.99835472017859039</v>
      </c>
      <c r="C29" s="72">
        <f t="shared" ref="C29:L29" si="10">C17/C27</f>
        <v>1</v>
      </c>
      <c r="D29" s="72">
        <f t="shared" si="10"/>
        <v>1</v>
      </c>
      <c r="E29" s="72">
        <f t="shared" si="10"/>
        <v>0.99153991596503865</v>
      </c>
      <c r="F29" s="72">
        <f t="shared" si="10"/>
        <v>0.92485138318791094</v>
      </c>
      <c r="G29" s="72">
        <f t="shared" si="10"/>
        <v>0.87160005641185034</v>
      </c>
      <c r="H29" s="72">
        <f t="shared" si="10"/>
        <v>0.82092394709672445</v>
      </c>
      <c r="I29" s="72">
        <f t="shared" si="10"/>
        <v>0.8128567123213033</v>
      </c>
      <c r="J29" s="72">
        <f t="shared" si="10"/>
        <v>0.80963338809454566</v>
      </c>
      <c r="K29" s="72">
        <f t="shared" si="10"/>
        <v>0.81760190936969523</v>
      </c>
      <c r="L29" s="72">
        <f t="shared" si="10"/>
        <v>0.8355634812478383</v>
      </c>
      <c r="M29" s="72">
        <f t="shared" ref="M29" si="11">M17/M27</f>
        <v>0.87288104676609557</v>
      </c>
      <c r="N29" s="11">
        <f t="shared" si="9"/>
        <v>-0.12568045292563901</v>
      </c>
      <c r="O29" s="43"/>
    </row>
    <row r="30" spans="1:15" s="6" customFormat="1" ht="15" customHeight="1" thickBot="1" x14ac:dyDescent="0.3">
      <c r="A30" s="52" t="s">
        <v>64</v>
      </c>
      <c r="B30" s="73">
        <f>B24/B27</f>
        <v>1.6452798214096579E-3</v>
      </c>
      <c r="C30" s="73">
        <f t="shared" ref="C30:L30" si="12">C24/C27</f>
        <v>0</v>
      </c>
      <c r="D30" s="73">
        <f t="shared" si="12"/>
        <v>0</v>
      </c>
      <c r="E30" s="73">
        <f t="shared" si="12"/>
        <v>8.4600840349613148E-3</v>
      </c>
      <c r="F30" s="73">
        <f t="shared" si="12"/>
        <v>7.5148616812089092E-2</v>
      </c>
      <c r="G30" s="73">
        <f t="shared" si="12"/>
        <v>0.12839994358814968</v>
      </c>
      <c r="H30" s="73">
        <f t="shared" si="12"/>
        <v>0.17907605290327561</v>
      </c>
      <c r="I30" s="73">
        <f t="shared" si="12"/>
        <v>0.1871432876786967</v>
      </c>
      <c r="J30" s="73">
        <f t="shared" si="12"/>
        <v>0.19036661190545437</v>
      </c>
      <c r="K30" s="73">
        <f t="shared" si="12"/>
        <v>0.18239809063030477</v>
      </c>
      <c r="L30" s="73">
        <f t="shared" si="12"/>
        <v>0.16443651875216167</v>
      </c>
      <c r="M30" s="73">
        <f t="shared" ref="M30" si="13">M24/M27</f>
        <v>0.1271189532339044</v>
      </c>
      <c r="N30" s="35">
        <f t="shared" si="9"/>
        <v>76.26281668305532</v>
      </c>
      <c r="O30" s="43"/>
    </row>
    <row r="31" spans="1:15" s="6" customFormat="1" ht="15" customHeight="1" thickBot="1" x14ac:dyDescent="0.3">
      <c r="A31" s="222" t="s">
        <v>65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43"/>
    </row>
    <row r="32" spans="1:15" s="6" customFormat="1" ht="15" customHeight="1" x14ac:dyDescent="0.25">
      <c r="A32" s="59" t="s">
        <v>66</v>
      </c>
      <c r="B32" s="82">
        <f>B27/B10</f>
        <v>2922.3571428571427</v>
      </c>
      <c r="C32" s="82">
        <f t="shared" ref="C32:L32" si="14">C27/C10</f>
        <v>3554.060975609756</v>
      </c>
      <c r="D32" s="82">
        <f t="shared" si="14"/>
        <v>4258.5396895787144</v>
      </c>
      <c r="E32" s="82">
        <f t="shared" si="14"/>
        <v>3445.2630415561448</v>
      </c>
      <c r="F32" s="82">
        <f t="shared" si="14"/>
        <v>3444.1891168599464</v>
      </c>
      <c r="G32" s="82">
        <f t="shared" si="14"/>
        <v>3080.1719775070292</v>
      </c>
      <c r="H32" s="82">
        <f t="shared" si="14"/>
        <v>2218.5387205387206</v>
      </c>
      <c r="I32" s="82">
        <f t="shared" si="14"/>
        <v>2485.9597883597885</v>
      </c>
      <c r="J32" s="82">
        <f t="shared" si="14"/>
        <v>2725.6347080878413</v>
      </c>
      <c r="K32" s="82">
        <f t="shared" si="14"/>
        <v>2716.0427135678392</v>
      </c>
      <c r="L32" s="82">
        <f t="shared" si="14"/>
        <v>2651.8843704066635</v>
      </c>
      <c r="M32" s="82">
        <f t="shared" ref="M32" si="15">M27/M10</f>
        <v>3100.8614103819787</v>
      </c>
      <c r="N32" s="34">
        <f>(M32-B32)/B32</f>
        <v>6.1082290356309833E-2</v>
      </c>
      <c r="O32" s="43"/>
    </row>
    <row r="33" spans="1:15" s="6" customFormat="1" ht="22.5" x14ac:dyDescent="0.25">
      <c r="A33" s="49" t="s">
        <v>67</v>
      </c>
      <c r="B33" s="60">
        <f>B17/B10</f>
        <v>2917.5490476190475</v>
      </c>
      <c r="C33" s="60">
        <f t="shared" ref="C33:L33" si="16">C17/C10</f>
        <v>3554.060975609756</v>
      </c>
      <c r="D33" s="60">
        <f t="shared" si="16"/>
        <v>4258.5396895787144</v>
      </c>
      <c r="E33" s="60">
        <f t="shared" si="16"/>
        <v>3416.1158267020337</v>
      </c>
      <c r="F33" s="60">
        <f t="shared" si="16"/>
        <v>3185.3630686886709</v>
      </c>
      <c r="G33" s="60">
        <f t="shared" si="16"/>
        <v>2684.6780693533269</v>
      </c>
      <c r="H33" s="60">
        <f t="shared" si="16"/>
        <v>1821.2515632515633</v>
      </c>
      <c r="I33" s="60">
        <f t="shared" si="16"/>
        <v>2020.7291005291006</v>
      </c>
      <c r="J33" s="60">
        <f t="shared" si="16"/>
        <v>2206.7648634172469</v>
      </c>
      <c r="K33" s="60">
        <f t="shared" si="16"/>
        <v>2220.6417085427138</v>
      </c>
      <c r="L33" s="60">
        <f t="shared" si="16"/>
        <v>2215.8177364037238</v>
      </c>
      <c r="M33" s="60">
        <f t="shared" ref="M33" si="17">M17/M10</f>
        <v>2706.6831537708131</v>
      </c>
      <c r="N33" s="11">
        <f t="shared" ref="N33:N34" si="18">(M33-B33)/B33</f>
        <v>-7.2275012487045528E-2</v>
      </c>
      <c r="O33" s="43"/>
    </row>
    <row r="34" spans="1:15" s="6" customFormat="1" ht="23.25" thickBot="1" x14ac:dyDescent="0.3">
      <c r="A34" s="49" t="s">
        <v>68</v>
      </c>
      <c r="B34" s="84">
        <f>B24/B10</f>
        <v>4.8080952380952384</v>
      </c>
      <c r="C34" s="84">
        <f t="shared" ref="C34:L34" si="19">C24/C10</f>
        <v>0</v>
      </c>
      <c r="D34" s="84">
        <f t="shared" si="19"/>
        <v>0</v>
      </c>
      <c r="E34" s="84">
        <f t="shared" si="19"/>
        <v>29.147214854111407</v>
      </c>
      <c r="F34" s="84">
        <f t="shared" si="19"/>
        <v>258.82604817127566</v>
      </c>
      <c r="G34" s="84">
        <f t="shared" si="19"/>
        <v>395.49390815370197</v>
      </c>
      <c r="H34" s="84">
        <f t="shared" si="19"/>
        <v>397.2871572871573</v>
      </c>
      <c r="I34" s="84">
        <f t="shared" si="19"/>
        <v>465.23068783068783</v>
      </c>
      <c r="J34" s="84">
        <f t="shared" si="19"/>
        <v>518.86984467059449</v>
      </c>
      <c r="K34" s="84">
        <f t="shared" si="19"/>
        <v>495.40100502512564</v>
      </c>
      <c r="L34" s="84">
        <f t="shared" si="19"/>
        <v>436.06663400293974</v>
      </c>
      <c r="M34" s="84">
        <f t="shared" ref="M34" si="20">M24/M10</f>
        <v>394.17825661116552</v>
      </c>
      <c r="N34" s="35">
        <f t="shared" si="18"/>
        <v>80.982206485436024</v>
      </c>
      <c r="O34" s="43"/>
    </row>
    <row r="35" spans="1:15" s="6" customFormat="1" ht="13.5" thickBot="1" x14ac:dyDescent="0.3">
      <c r="A35" s="222" t="s">
        <v>69</v>
      </c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43"/>
    </row>
    <row r="36" spans="1:15" s="6" customFormat="1" ht="13.5" thickBot="1" x14ac:dyDescent="0.3">
      <c r="A36" s="74" t="s">
        <v>70</v>
      </c>
      <c r="B36" s="85">
        <f>B17/B24</f>
        <v>606.79934634049721</v>
      </c>
      <c r="C36" s="85"/>
      <c r="D36" s="85"/>
      <c r="E36" s="85">
        <f t="shared" ref="E36:M36" si="21">E17/E24</f>
        <v>117.20213556597048</v>
      </c>
      <c r="F36" s="85">
        <f t="shared" si="21"/>
        <v>12.306964817469947</v>
      </c>
      <c r="G36" s="85">
        <f t="shared" si="21"/>
        <v>6.7881654154581126</v>
      </c>
      <c r="H36" s="85">
        <f t="shared" si="21"/>
        <v>4.5842195747978112</v>
      </c>
      <c r="I36" s="85">
        <f t="shared" si="21"/>
        <v>4.3434991572707853</v>
      </c>
      <c r="J36" s="85">
        <f t="shared" si="21"/>
        <v>4.2530219978735042</v>
      </c>
      <c r="K36" s="85">
        <f t="shared" si="21"/>
        <v>4.482513531497756</v>
      </c>
      <c r="L36" s="85">
        <f t="shared" si="21"/>
        <v>5.0813741837188715</v>
      </c>
      <c r="M36" s="85">
        <f t="shared" si="21"/>
        <v>6.8666475341403777</v>
      </c>
      <c r="N36" s="86">
        <f>(M36-B36)/B36</f>
        <v>-0.98868382509712316</v>
      </c>
      <c r="O36" s="43"/>
    </row>
    <row r="37" spans="1:15" s="6" customFormat="1" ht="11.1" customHeight="1" x14ac:dyDescent="0.25">
      <c r="A37" s="53" t="s">
        <v>7</v>
      </c>
      <c r="B37" s="21"/>
      <c r="C37" s="21"/>
      <c r="D37" s="21"/>
      <c r="E37" s="17"/>
      <c r="F37" s="17"/>
      <c r="G37" s="17"/>
      <c r="H37" s="17"/>
      <c r="I37" s="3"/>
      <c r="J37" s="15"/>
      <c r="K37" s="3"/>
      <c r="L37" s="16"/>
      <c r="M37" s="16"/>
      <c r="N37" s="3"/>
      <c r="O37" s="17"/>
    </row>
    <row r="38" spans="1:15" s="6" customFormat="1" ht="11.1" customHeight="1" x14ac:dyDescent="0.25">
      <c r="A38" s="53" t="s">
        <v>8</v>
      </c>
      <c r="B38" s="21"/>
      <c r="C38" s="21"/>
      <c r="D38" s="21"/>
      <c r="E38" s="17"/>
      <c r="F38" s="17"/>
      <c r="G38" s="17"/>
      <c r="H38" s="17"/>
      <c r="I38" s="3"/>
      <c r="J38" s="15"/>
      <c r="K38" s="3"/>
      <c r="L38" s="18"/>
      <c r="M38" s="18"/>
      <c r="N38" s="3"/>
      <c r="O38" s="17"/>
    </row>
  </sheetData>
  <mergeCells count="7">
    <mergeCell ref="A31:N31"/>
    <mergeCell ref="A35:N35"/>
    <mergeCell ref="A4:N4"/>
    <mergeCell ref="A11:N11"/>
    <mergeCell ref="A18:N18"/>
    <mergeCell ref="A25:N25"/>
    <mergeCell ref="A26:N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D77C-92BF-4941-8A4B-35BE27F8D228}">
  <dimension ref="A1:AJ15"/>
  <sheetViews>
    <sheetView workbookViewId="0"/>
  </sheetViews>
  <sheetFormatPr defaultRowHeight="15" x14ac:dyDescent="0.25"/>
  <cols>
    <col min="1" max="1" width="36.7109375" style="47" customWidth="1"/>
    <col min="2" max="34" width="7.7109375" style="8" customWidth="1"/>
    <col min="35" max="35" width="15.85546875" style="8" bestFit="1" customWidth="1"/>
    <col min="36" max="36" width="10" style="8" customWidth="1"/>
  </cols>
  <sheetData>
    <row r="1" spans="1:36" s="6" customFormat="1" ht="18.75" x14ac:dyDescent="0.25">
      <c r="A1" s="162" t="s">
        <v>250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64"/>
      <c r="Y1" s="17"/>
      <c r="Z1" s="17"/>
      <c r="AA1" s="17"/>
      <c r="AB1" s="17"/>
      <c r="AC1" s="65"/>
      <c r="AD1" s="17"/>
      <c r="AE1" s="17"/>
      <c r="AF1" s="17"/>
      <c r="AG1" s="17"/>
      <c r="AH1" s="17"/>
      <c r="AI1" s="5"/>
      <c r="AJ1" s="5"/>
    </row>
    <row r="2" spans="1:36" ht="5.0999999999999996" customHeight="1" thickBot="1" x14ac:dyDescent="0.3">
      <c r="AI2"/>
      <c r="AJ2"/>
    </row>
    <row r="3" spans="1:36" s="10" customFormat="1" ht="15" customHeight="1" thickBot="1" x14ac:dyDescent="0.3">
      <c r="A3" s="48" t="s">
        <v>0</v>
      </c>
      <c r="B3" s="9">
        <v>1993</v>
      </c>
      <c r="C3" s="9">
        <v>1994</v>
      </c>
      <c r="D3" s="9">
        <v>1995</v>
      </c>
      <c r="E3" s="9">
        <v>1996</v>
      </c>
      <c r="F3" s="9">
        <v>1997</v>
      </c>
      <c r="G3" s="9">
        <v>1998</v>
      </c>
      <c r="H3" s="9">
        <v>1999</v>
      </c>
      <c r="I3" s="9">
        <v>2000</v>
      </c>
      <c r="J3" s="9">
        <v>2001</v>
      </c>
      <c r="K3" s="9">
        <v>2002</v>
      </c>
      <c r="L3" s="9">
        <v>2003</v>
      </c>
      <c r="M3" s="9">
        <v>2004</v>
      </c>
      <c r="N3" s="9">
        <v>2005</v>
      </c>
      <c r="O3" s="9">
        <v>2006</v>
      </c>
      <c r="P3" s="9">
        <v>2007</v>
      </c>
      <c r="Q3" s="9">
        <v>2008</v>
      </c>
      <c r="R3" s="9">
        <v>2009</v>
      </c>
      <c r="S3" s="9">
        <v>2010</v>
      </c>
      <c r="T3" s="9">
        <v>2011</v>
      </c>
      <c r="U3" s="9">
        <v>2012</v>
      </c>
      <c r="V3" s="9">
        <v>2013</v>
      </c>
      <c r="W3" s="9">
        <v>2014</v>
      </c>
      <c r="X3" s="9">
        <v>2015</v>
      </c>
      <c r="Y3" s="9">
        <v>2016</v>
      </c>
      <c r="Z3" s="9">
        <v>2017</v>
      </c>
      <c r="AA3" s="9">
        <v>2018</v>
      </c>
      <c r="AB3" s="9">
        <v>2019</v>
      </c>
      <c r="AC3" s="9">
        <v>2020</v>
      </c>
      <c r="AD3" s="9">
        <v>2021</v>
      </c>
      <c r="AE3" s="9">
        <v>2022</v>
      </c>
      <c r="AF3" s="9">
        <v>2023</v>
      </c>
      <c r="AG3" s="9">
        <v>2024</v>
      </c>
      <c r="AH3" s="9">
        <v>2025</v>
      </c>
      <c r="AI3" s="9" t="s">
        <v>246</v>
      </c>
      <c r="AJ3" s="42"/>
    </row>
    <row r="4" spans="1:36" s="6" customFormat="1" ht="15" customHeight="1" thickBot="1" x14ac:dyDescent="0.3">
      <c r="A4" s="223" t="s">
        <v>18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36"/>
    </row>
    <row r="5" spans="1:36" s="6" customFormat="1" ht="15" customHeight="1" x14ac:dyDescent="0.25">
      <c r="A5" s="49" t="s">
        <v>20</v>
      </c>
      <c r="B5" s="66">
        <v>5641172</v>
      </c>
      <c r="C5" s="66">
        <v>5593650</v>
      </c>
      <c r="D5" s="66">
        <v>6367753</v>
      </c>
      <c r="E5" s="66">
        <v>5859381</v>
      </c>
      <c r="F5" s="66">
        <v>5574002</v>
      </c>
      <c r="G5" s="66">
        <v>5283041</v>
      </c>
      <c r="H5" s="66">
        <v>5247608</v>
      </c>
      <c r="I5" s="66">
        <v>4539528</v>
      </c>
      <c r="J5" s="66">
        <v>5134143</v>
      </c>
      <c r="K5" s="66">
        <v>4712752</v>
      </c>
      <c r="L5" s="66">
        <v>4294443</v>
      </c>
      <c r="M5" s="66">
        <v>4333851</v>
      </c>
      <c r="N5" s="66">
        <v>3722168</v>
      </c>
      <c r="O5" s="66">
        <v>7268000</v>
      </c>
      <c r="P5" s="66">
        <v>4325971</v>
      </c>
      <c r="Q5" s="66">
        <v>4945554</v>
      </c>
      <c r="R5" s="66">
        <v>5652676</v>
      </c>
      <c r="S5" s="66">
        <v>5504774</v>
      </c>
      <c r="T5" s="66">
        <v>5878965</v>
      </c>
      <c r="U5" s="66">
        <v>6375452</v>
      </c>
      <c r="V5" s="66">
        <v>7230947</v>
      </c>
      <c r="W5" s="60">
        <v>7299944</v>
      </c>
      <c r="X5" s="60">
        <v>7134250</v>
      </c>
      <c r="Y5" s="40">
        <v>7730581</v>
      </c>
      <c r="Z5" s="40">
        <v>7130895</v>
      </c>
      <c r="AA5" s="40">
        <v>7054693</v>
      </c>
      <c r="AB5" s="40">
        <v>5696800</v>
      </c>
      <c r="AC5" s="40">
        <v>3727676</v>
      </c>
      <c r="AD5" s="40">
        <v>3784840</v>
      </c>
      <c r="AE5" s="40">
        <v>4558986</v>
      </c>
      <c r="AF5" s="40">
        <v>4415069</v>
      </c>
      <c r="AG5" s="40">
        <v>4522487</v>
      </c>
      <c r="AH5" s="107">
        <v>5563106</v>
      </c>
      <c r="AI5" s="13">
        <f>(AH5-B5)/B5</f>
        <v>-1.3838613678150568E-2</v>
      </c>
      <c r="AJ5" s="43"/>
    </row>
    <row r="6" spans="1:36" s="6" customFormat="1" ht="15" customHeight="1" x14ac:dyDescent="0.25">
      <c r="A6" s="49" t="s">
        <v>21</v>
      </c>
      <c r="B6" s="66">
        <v>229913</v>
      </c>
      <c r="C6" s="66">
        <v>193731</v>
      </c>
      <c r="D6" s="66">
        <v>306168</v>
      </c>
      <c r="E6" s="66">
        <v>284623</v>
      </c>
      <c r="F6" s="66">
        <v>275496</v>
      </c>
      <c r="G6" s="66">
        <v>278779</v>
      </c>
      <c r="H6" s="66">
        <v>307384</v>
      </c>
      <c r="I6" s="66">
        <v>294770</v>
      </c>
      <c r="J6" s="66">
        <v>328882</v>
      </c>
      <c r="K6" s="66">
        <v>382523</v>
      </c>
      <c r="L6" s="66">
        <v>472449</v>
      </c>
      <c r="M6" s="66">
        <v>726567</v>
      </c>
      <c r="N6" s="66">
        <v>753338</v>
      </c>
      <c r="O6" s="66">
        <v>1433609</v>
      </c>
      <c r="P6" s="66">
        <v>904465</v>
      </c>
      <c r="Q6" s="66">
        <v>819928</v>
      </c>
      <c r="R6" s="66">
        <v>668984</v>
      </c>
      <c r="S6" s="66">
        <v>820085</v>
      </c>
      <c r="T6" s="66">
        <v>798082</v>
      </c>
      <c r="U6" s="66">
        <v>849597</v>
      </c>
      <c r="V6" s="66">
        <v>1037501</v>
      </c>
      <c r="W6" s="60">
        <v>981129</v>
      </c>
      <c r="X6" s="60">
        <v>1082466</v>
      </c>
      <c r="Y6" s="40">
        <v>1035992</v>
      </c>
      <c r="Z6" s="40">
        <v>1129588</v>
      </c>
      <c r="AA6" s="40">
        <v>929859</v>
      </c>
      <c r="AB6" s="40">
        <v>827209</v>
      </c>
      <c r="AC6" s="40">
        <v>803257</v>
      </c>
      <c r="AD6" s="40">
        <v>861573</v>
      </c>
      <c r="AE6" s="40">
        <v>960492</v>
      </c>
      <c r="AF6" s="40">
        <v>982178</v>
      </c>
      <c r="AG6" s="40">
        <v>890020</v>
      </c>
      <c r="AH6" s="23">
        <v>883560</v>
      </c>
      <c r="AI6" s="32">
        <f>(AH6-B6)/B6</f>
        <v>2.8430188810550079</v>
      </c>
      <c r="AJ6" s="38"/>
    </row>
    <row r="7" spans="1:36" s="6" customFormat="1" ht="15" customHeight="1" thickBot="1" x14ac:dyDescent="0.3">
      <c r="A7" s="49" t="s">
        <v>24</v>
      </c>
      <c r="B7" s="20"/>
      <c r="C7" s="70">
        <v>237533</v>
      </c>
      <c r="D7" s="70">
        <v>229968</v>
      </c>
      <c r="E7" s="70">
        <v>163070</v>
      </c>
      <c r="F7" s="70">
        <v>160046</v>
      </c>
      <c r="G7" s="70">
        <v>144019</v>
      </c>
      <c r="H7" s="70">
        <v>125562</v>
      </c>
      <c r="I7" s="70">
        <v>140492</v>
      </c>
      <c r="J7" s="70">
        <v>162798</v>
      </c>
      <c r="K7" s="70">
        <v>173326</v>
      </c>
      <c r="L7" s="70">
        <v>226920</v>
      </c>
      <c r="M7" s="70">
        <v>432857</v>
      </c>
      <c r="N7" s="70">
        <v>329901</v>
      </c>
      <c r="O7" s="70">
        <v>445689</v>
      </c>
      <c r="P7" s="70">
        <v>120668</v>
      </c>
      <c r="Q7" s="70">
        <v>151971</v>
      </c>
      <c r="R7" s="70">
        <v>172381</v>
      </c>
      <c r="S7" s="70">
        <v>146735</v>
      </c>
      <c r="T7" s="70">
        <v>148262</v>
      </c>
      <c r="U7" s="70">
        <v>140556</v>
      </c>
      <c r="V7" s="70">
        <v>7608</v>
      </c>
      <c r="W7" s="22">
        <v>7264</v>
      </c>
      <c r="X7" s="22">
        <v>5918</v>
      </c>
      <c r="Y7" s="23">
        <v>3824</v>
      </c>
      <c r="Z7" s="23">
        <v>2920</v>
      </c>
      <c r="AA7" s="23">
        <v>3315</v>
      </c>
      <c r="AB7" s="23">
        <v>5220</v>
      </c>
      <c r="AC7" s="23">
        <v>23317</v>
      </c>
      <c r="AD7" s="23">
        <v>2495</v>
      </c>
      <c r="AE7" s="23">
        <v>2296</v>
      </c>
      <c r="AF7" s="23">
        <v>1922</v>
      </c>
      <c r="AG7" s="23">
        <v>6342</v>
      </c>
      <c r="AH7" s="25">
        <v>11227</v>
      </c>
      <c r="AI7" s="33">
        <f>(AH7-C7)/C7</f>
        <v>-0.95273498840161153</v>
      </c>
      <c r="AJ7" s="43"/>
    </row>
    <row r="8" spans="1:36" s="6" customFormat="1" ht="15" customHeight="1" thickBot="1" x14ac:dyDescent="0.3">
      <c r="A8" s="223" t="s">
        <v>22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36"/>
    </row>
    <row r="9" spans="1:36" s="6" customFormat="1" ht="15" customHeight="1" x14ac:dyDescent="0.25">
      <c r="A9" s="59" t="s">
        <v>23</v>
      </c>
      <c r="B9" s="75">
        <f t="shared" ref="B9:AG9" si="0">B5+B6</f>
        <v>5871085</v>
      </c>
      <c r="C9" s="75">
        <f t="shared" si="0"/>
        <v>5787381</v>
      </c>
      <c r="D9" s="75">
        <f t="shared" si="0"/>
        <v>6673921</v>
      </c>
      <c r="E9" s="75">
        <f t="shared" si="0"/>
        <v>6144004</v>
      </c>
      <c r="F9" s="75">
        <f t="shared" si="0"/>
        <v>5849498</v>
      </c>
      <c r="G9" s="75">
        <f t="shared" si="0"/>
        <v>5561820</v>
      </c>
      <c r="H9" s="75">
        <f t="shared" si="0"/>
        <v>5554992</v>
      </c>
      <c r="I9" s="75">
        <f t="shared" si="0"/>
        <v>4834298</v>
      </c>
      <c r="J9" s="75">
        <f t="shared" si="0"/>
        <v>5463025</v>
      </c>
      <c r="K9" s="75">
        <f t="shared" si="0"/>
        <v>5095275</v>
      </c>
      <c r="L9" s="75">
        <f t="shared" si="0"/>
        <v>4766892</v>
      </c>
      <c r="M9" s="75">
        <f t="shared" si="0"/>
        <v>5060418</v>
      </c>
      <c r="N9" s="75">
        <f t="shared" si="0"/>
        <v>4475506</v>
      </c>
      <c r="O9" s="75">
        <f t="shared" si="0"/>
        <v>8701609</v>
      </c>
      <c r="P9" s="75">
        <f t="shared" si="0"/>
        <v>5230436</v>
      </c>
      <c r="Q9" s="75">
        <f t="shared" si="0"/>
        <v>5765482</v>
      </c>
      <c r="R9" s="75">
        <f t="shared" si="0"/>
        <v>6321660</v>
      </c>
      <c r="S9" s="75">
        <f t="shared" si="0"/>
        <v>6324859</v>
      </c>
      <c r="T9" s="75">
        <f t="shared" si="0"/>
        <v>6677047</v>
      </c>
      <c r="U9" s="75">
        <f t="shared" si="0"/>
        <v>7225049</v>
      </c>
      <c r="V9" s="75">
        <f t="shared" si="0"/>
        <v>8268448</v>
      </c>
      <c r="W9" s="75">
        <f t="shared" si="0"/>
        <v>8281073</v>
      </c>
      <c r="X9" s="75">
        <f t="shared" si="0"/>
        <v>8216716</v>
      </c>
      <c r="Y9" s="75">
        <f t="shared" si="0"/>
        <v>8766573</v>
      </c>
      <c r="Z9" s="75">
        <f t="shared" si="0"/>
        <v>8260483</v>
      </c>
      <c r="AA9" s="75">
        <f t="shared" si="0"/>
        <v>7984552</v>
      </c>
      <c r="AB9" s="75">
        <f t="shared" si="0"/>
        <v>6524009</v>
      </c>
      <c r="AC9" s="75">
        <f t="shared" si="0"/>
        <v>4530933</v>
      </c>
      <c r="AD9" s="75">
        <f t="shared" si="0"/>
        <v>4646413</v>
      </c>
      <c r="AE9" s="75">
        <f t="shared" si="0"/>
        <v>5519478</v>
      </c>
      <c r="AF9" s="75">
        <f t="shared" si="0"/>
        <v>5397247</v>
      </c>
      <c r="AG9" s="75">
        <f t="shared" si="0"/>
        <v>5412507</v>
      </c>
      <c r="AH9" s="75">
        <f t="shared" ref="AH9" si="1">AH5+AH6</f>
        <v>6446666</v>
      </c>
      <c r="AI9" s="34">
        <f>(AH9-B9)/B9</f>
        <v>9.8036563940055374E-2</v>
      </c>
      <c r="AJ9" s="38"/>
    </row>
    <row r="10" spans="1:36" s="6" customFormat="1" ht="15" customHeight="1" x14ac:dyDescent="0.25">
      <c r="A10" s="49" t="s">
        <v>17</v>
      </c>
      <c r="B10" s="66">
        <f>B5-B6</f>
        <v>5411259</v>
      </c>
      <c r="C10" s="66">
        <f t="shared" ref="C10:AG10" si="2">C5-C6</f>
        <v>5399919</v>
      </c>
      <c r="D10" s="66">
        <f t="shared" si="2"/>
        <v>6061585</v>
      </c>
      <c r="E10" s="66">
        <f t="shared" si="2"/>
        <v>5574758</v>
      </c>
      <c r="F10" s="66">
        <f t="shared" si="2"/>
        <v>5298506</v>
      </c>
      <c r="G10" s="66">
        <f t="shared" si="2"/>
        <v>5004262</v>
      </c>
      <c r="H10" s="66">
        <f t="shared" si="2"/>
        <v>4940224</v>
      </c>
      <c r="I10" s="66">
        <f t="shared" si="2"/>
        <v>4244758</v>
      </c>
      <c r="J10" s="66">
        <f t="shared" si="2"/>
        <v>4805261</v>
      </c>
      <c r="K10" s="66">
        <f t="shared" si="2"/>
        <v>4330229</v>
      </c>
      <c r="L10" s="66">
        <f t="shared" si="2"/>
        <v>3821994</v>
      </c>
      <c r="M10" s="66">
        <f t="shared" si="2"/>
        <v>3607284</v>
      </c>
      <c r="N10" s="66">
        <f t="shared" si="2"/>
        <v>2968830</v>
      </c>
      <c r="O10" s="66">
        <f t="shared" si="2"/>
        <v>5834391</v>
      </c>
      <c r="P10" s="66">
        <f t="shared" si="2"/>
        <v>3421506</v>
      </c>
      <c r="Q10" s="66">
        <f t="shared" si="2"/>
        <v>4125626</v>
      </c>
      <c r="R10" s="66">
        <f t="shared" si="2"/>
        <v>4983692</v>
      </c>
      <c r="S10" s="66">
        <f t="shared" si="2"/>
        <v>4684689</v>
      </c>
      <c r="T10" s="66">
        <f t="shared" si="2"/>
        <v>5080883</v>
      </c>
      <c r="U10" s="66">
        <f t="shared" si="2"/>
        <v>5525855</v>
      </c>
      <c r="V10" s="66">
        <f t="shared" si="2"/>
        <v>6193446</v>
      </c>
      <c r="W10" s="66">
        <f t="shared" si="2"/>
        <v>6318815</v>
      </c>
      <c r="X10" s="66">
        <f t="shared" si="2"/>
        <v>6051784</v>
      </c>
      <c r="Y10" s="66">
        <f t="shared" si="2"/>
        <v>6694589</v>
      </c>
      <c r="Z10" s="66">
        <f t="shared" si="2"/>
        <v>6001307</v>
      </c>
      <c r="AA10" s="66">
        <f t="shared" si="2"/>
        <v>6124834</v>
      </c>
      <c r="AB10" s="66">
        <f t="shared" si="2"/>
        <v>4869591</v>
      </c>
      <c r="AC10" s="66">
        <f t="shared" si="2"/>
        <v>2924419</v>
      </c>
      <c r="AD10" s="66">
        <f t="shared" si="2"/>
        <v>2923267</v>
      </c>
      <c r="AE10" s="66">
        <f t="shared" si="2"/>
        <v>3598494</v>
      </c>
      <c r="AF10" s="66">
        <f t="shared" si="2"/>
        <v>3432891</v>
      </c>
      <c r="AG10" s="66">
        <f t="shared" si="2"/>
        <v>3632467</v>
      </c>
      <c r="AH10" s="66">
        <f t="shared" ref="AH10" si="3">AH5-AH6</f>
        <v>4679546</v>
      </c>
      <c r="AI10" s="11">
        <f>(AH10-B10)/B10</f>
        <v>-0.1352204727217825</v>
      </c>
      <c r="AJ10" s="38"/>
    </row>
    <row r="11" spans="1:36" s="6" customFormat="1" ht="15" customHeight="1" x14ac:dyDescent="0.25">
      <c r="A11" s="49" t="s">
        <v>27</v>
      </c>
      <c r="B11" s="20"/>
      <c r="C11" s="72">
        <f>C7/C9</f>
        <v>4.1043262919790491E-2</v>
      </c>
      <c r="D11" s="72">
        <f t="shared" ref="D11:AG11" si="4">D7/D9</f>
        <v>3.4457704848469141E-2</v>
      </c>
      <c r="E11" s="72">
        <f t="shared" si="4"/>
        <v>2.6541323866325607E-2</v>
      </c>
      <c r="F11" s="72">
        <f t="shared" si="4"/>
        <v>2.7360638468463448E-2</v>
      </c>
      <c r="G11" s="72">
        <f t="shared" si="4"/>
        <v>2.5894221675638551E-2</v>
      </c>
      <c r="H11" s="72">
        <f t="shared" si="4"/>
        <v>2.2603452894261595E-2</v>
      </c>
      <c r="I11" s="72">
        <f t="shared" si="4"/>
        <v>2.9061510068266374E-2</v>
      </c>
      <c r="J11" s="72">
        <f t="shared" si="4"/>
        <v>2.9799973457928529E-2</v>
      </c>
      <c r="K11" s="72">
        <f t="shared" si="4"/>
        <v>3.4017005951592405E-2</v>
      </c>
      <c r="L11" s="72">
        <f t="shared" si="4"/>
        <v>4.7603344065693116E-2</v>
      </c>
      <c r="M11" s="72">
        <f t="shared" si="4"/>
        <v>8.5537795494364299E-2</v>
      </c>
      <c r="N11" s="72">
        <f t="shared" si="4"/>
        <v>7.3712558982157547E-2</v>
      </c>
      <c r="O11" s="72">
        <f t="shared" si="4"/>
        <v>5.121914809088756E-2</v>
      </c>
      <c r="P11" s="72">
        <f t="shared" si="4"/>
        <v>2.3070352070075992E-2</v>
      </c>
      <c r="Q11" s="72">
        <f t="shared" si="4"/>
        <v>2.635876757572047E-2</v>
      </c>
      <c r="R11" s="72">
        <f t="shared" si="4"/>
        <v>2.7268312436923212E-2</v>
      </c>
      <c r="S11" s="72">
        <f t="shared" si="4"/>
        <v>2.3199726665843461E-2</v>
      </c>
      <c r="T11" s="72">
        <f t="shared" si="4"/>
        <v>2.2204726131177452E-2</v>
      </c>
      <c r="U11" s="72">
        <f t="shared" si="4"/>
        <v>1.9453985709993109E-2</v>
      </c>
      <c r="V11" s="72">
        <f t="shared" si="4"/>
        <v>9.2012430869735167E-4</v>
      </c>
      <c r="W11" s="72">
        <f t="shared" si="4"/>
        <v>8.7718101265379499E-4</v>
      </c>
      <c r="X11" s="72">
        <f t="shared" si="4"/>
        <v>7.2023908335154822E-4</v>
      </c>
      <c r="Y11" s="72">
        <f t="shared" si="4"/>
        <v>4.3620237919652299E-4</v>
      </c>
      <c r="Z11" s="72">
        <f t="shared" si="4"/>
        <v>3.5349022569261388E-4</v>
      </c>
      <c r="AA11" s="72">
        <f t="shared" si="4"/>
        <v>4.1517670621971027E-4</v>
      </c>
      <c r="AB11" s="72">
        <f t="shared" si="4"/>
        <v>8.0012152037190626E-4</v>
      </c>
      <c r="AC11" s="72">
        <f t="shared" si="4"/>
        <v>5.1461807093594186E-3</v>
      </c>
      <c r="AD11" s="72">
        <f t="shared" si="4"/>
        <v>5.3697335987997624E-4</v>
      </c>
      <c r="AE11" s="72">
        <f t="shared" si="4"/>
        <v>4.1598136635384722E-4</v>
      </c>
      <c r="AF11" s="72">
        <f t="shared" si="4"/>
        <v>3.5610747479224131E-4</v>
      </c>
      <c r="AG11" s="72">
        <f t="shared" si="4"/>
        <v>1.1717305862144842E-3</v>
      </c>
      <c r="AH11" s="72">
        <f t="shared" ref="AH11" si="5">AH7/AH9</f>
        <v>1.7415203455553615E-3</v>
      </c>
      <c r="AI11" s="11">
        <f>(AH11-C11)/C11</f>
        <v>-0.95756866726315704</v>
      </c>
      <c r="AJ11" s="43"/>
    </row>
    <row r="12" spans="1:36" s="6" customFormat="1" ht="15" customHeight="1" x14ac:dyDescent="0.25">
      <c r="A12" s="49" t="s">
        <v>25</v>
      </c>
      <c r="B12" s="72">
        <f>B5/B9</f>
        <v>0.96083977663413156</v>
      </c>
      <c r="C12" s="72">
        <f>C5/C9</f>
        <v>0.96652527283066381</v>
      </c>
      <c r="D12" s="72">
        <f t="shared" ref="D12:AG12" si="6">D5/D9</f>
        <v>0.95412471918681685</v>
      </c>
      <c r="E12" s="72">
        <f t="shared" si="6"/>
        <v>0.95367467208680201</v>
      </c>
      <c r="F12" s="72">
        <f t="shared" si="6"/>
        <v>0.95290262514834612</v>
      </c>
      <c r="G12" s="72">
        <f t="shared" si="6"/>
        <v>0.94987629948470109</v>
      </c>
      <c r="H12" s="72">
        <f t="shared" si="6"/>
        <v>0.94466526684466867</v>
      </c>
      <c r="I12" s="72">
        <f t="shared" si="6"/>
        <v>0.93902527316272189</v>
      </c>
      <c r="J12" s="72">
        <f t="shared" si="6"/>
        <v>0.93979855482997054</v>
      </c>
      <c r="K12" s="72">
        <f t="shared" si="6"/>
        <v>0.92492593628410635</v>
      </c>
      <c r="L12" s="72">
        <f t="shared" si="6"/>
        <v>0.90088951039797005</v>
      </c>
      <c r="M12" s="72">
        <f t="shared" si="6"/>
        <v>0.85642154462338882</v>
      </c>
      <c r="N12" s="72">
        <f t="shared" si="6"/>
        <v>0.83167534575978674</v>
      </c>
      <c r="O12" s="72">
        <f t="shared" si="6"/>
        <v>0.83524782600551228</v>
      </c>
      <c r="P12" s="72">
        <f t="shared" si="6"/>
        <v>0.82707655728891438</v>
      </c>
      <c r="Q12" s="72">
        <f t="shared" si="6"/>
        <v>0.85778673838544639</v>
      </c>
      <c r="R12" s="72">
        <f t="shared" si="6"/>
        <v>0.89417589683722309</v>
      </c>
      <c r="S12" s="72">
        <f t="shared" si="6"/>
        <v>0.87033940203251958</v>
      </c>
      <c r="T12" s="72">
        <f t="shared" si="6"/>
        <v>0.88047380825685362</v>
      </c>
      <c r="U12" s="72">
        <f t="shared" si="6"/>
        <v>0.88240951722265137</v>
      </c>
      <c r="V12" s="72">
        <f t="shared" si="6"/>
        <v>0.87452288506863685</v>
      </c>
      <c r="W12" s="72">
        <f t="shared" si="6"/>
        <v>0.88152151297301695</v>
      </c>
      <c r="X12" s="72">
        <f t="shared" si="6"/>
        <v>0.86826050699573898</v>
      </c>
      <c r="Y12" s="72">
        <f t="shared" si="6"/>
        <v>0.88182474497160979</v>
      </c>
      <c r="Z12" s="72">
        <f t="shared" si="6"/>
        <v>0.86325400100696292</v>
      </c>
      <c r="AA12" s="72">
        <f t="shared" si="6"/>
        <v>0.8835427460426083</v>
      </c>
      <c r="AB12" s="72">
        <f t="shared" si="6"/>
        <v>0.87320541709859689</v>
      </c>
      <c r="AC12" s="72">
        <f t="shared" si="6"/>
        <v>0.82271708718712022</v>
      </c>
      <c r="AD12" s="72">
        <f t="shared" si="6"/>
        <v>0.81457244545415997</v>
      </c>
      <c r="AE12" s="72">
        <f t="shared" si="6"/>
        <v>0.82598136997737825</v>
      </c>
      <c r="AF12" s="72">
        <f t="shared" si="6"/>
        <v>0.81802241031399892</v>
      </c>
      <c r="AG12" s="72">
        <f t="shared" si="6"/>
        <v>0.83556233737896324</v>
      </c>
      <c r="AH12" s="72">
        <f t="shared" ref="AH12" si="7">AH5/AH9</f>
        <v>0.86294310888760173</v>
      </c>
      <c r="AI12" s="11">
        <f>(AH12-B12)/B12</f>
        <v>-0.10188656852807094</v>
      </c>
      <c r="AJ12" s="38"/>
    </row>
    <row r="13" spans="1:36" s="6" customFormat="1" ht="15" customHeight="1" thickBot="1" x14ac:dyDescent="0.3">
      <c r="A13" s="52" t="s">
        <v>26</v>
      </c>
      <c r="B13" s="73">
        <f>B6/B9</f>
        <v>3.9160223365868489E-2</v>
      </c>
      <c r="C13" s="73">
        <f t="shared" ref="C13:AG13" si="8">C6/C9</f>
        <v>3.347472716933618E-2</v>
      </c>
      <c r="D13" s="73">
        <f t="shared" si="8"/>
        <v>4.5875280813183136E-2</v>
      </c>
      <c r="E13" s="73">
        <f t="shared" si="8"/>
        <v>4.6325327913197975E-2</v>
      </c>
      <c r="F13" s="73">
        <f t="shared" si="8"/>
        <v>4.7097374851653939E-2</v>
      </c>
      <c r="G13" s="73">
        <f t="shared" si="8"/>
        <v>5.012370051529895E-2</v>
      </c>
      <c r="H13" s="73">
        <f t="shared" si="8"/>
        <v>5.533473315533128E-2</v>
      </c>
      <c r="I13" s="73">
        <f t="shared" si="8"/>
        <v>6.0974726837278136E-2</v>
      </c>
      <c r="J13" s="73">
        <f t="shared" si="8"/>
        <v>6.0201445170029427E-2</v>
      </c>
      <c r="K13" s="73">
        <f t="shared" si="8"/>
        <v>7.5074063715893646E-2</v>
      </c>
      <c r="L13" s="73">
        <f t="shared" si="8"/>
        <v>9.9110489602030005E-2</v>
      </c>
      <c r="M13" s="73">
        <f t="shared" si="8"/>
        <v>0.14357845537661118</v>
      </c>
      <c r="N13" s="73">
        <f t="shared" si="8"/>
        <v>0.16832465424021328</v>
      </c>
      <c r="O13" s="73">
        <f t="shared" si="8"/>
        <v>0.16475217399448769</v>
      </c>
      <c r="P13" s="73">
        <f t="shared" si="8"/>
        <v>0.17292344271108565</v>
      </c>
      <c r="Q13" s="73">
        <f t="shared" si="8"/>
        <v>0.14221326161455364</v>
      </c>
      <c r="R13" s="73">
        <f t="shared" si="8"/>
        <v>0.10582410316277686</v>
      </c>
      <c r="S13" s="73">
        <f t="shared" si="8"/>
        <v>0.12966059796748039</v>
      </c>
      <c r="T13" s="73">
        <f t="shared" si="8"/>
        <v>0.11952619174314634</v>
      </c>
      <c r="U13" s="73">
        <f t="shared" si="8"/>
        <v>0.11759048277734864</v>
      </c>
      <c r="V13" s="73">
        <f t="shared" si="8"/>
        <v>0.12547711493136318</v>
      </c>
      <c r="W13" s="73">
        <f t="shared" si="8"/>
        <v>0.1184784870269831</v>
      </c>
      <c r="X13" s="73">
        <f t="shared" si="8"/>
        <v>0.13173949300426108</v>
      </c>
      <c r="Y13" s="73">
        <f t="shared" si="8"/>
        <v>0.11817525502839023</v>
      </c>
      <c r="Z13" s="73">
        <f t="shared" si="8"/>
        <v>0.13674599899303708</v>
      </c>
      <c r="AA13" s="73">
        <f t="shared" si="8"/>
        <v>0.11645725395739172</v>
      </c>
      <c r="AB13" s="73">
        <f t="shared" si="8"/>
        <v>0.12679458290140311</v>
      </c>
      <c r="AC13" s="73">
        <f t="shared" si="8"/>
        <v>0.17728291281287981</v>
      </c>
      <c r="AD13" s="73">
        <f t="shared" si="8"/>
        <v>0.18542755454583998</v>
      </c>
      <c r="AE13" s="73">
        <f t="shared" si="8"/>
        <v>0.17401863002262172</v>
      </c>
      <c r="AF13" s="73">
        <f t="shared" si="8"/>
        <v>0.18197758968600103</v>
      </c>
      <c r="AG13" s="73">
        <f t="shared" si="8"/>
        <v>0.16443766262103679</v>
      </c>
      <c r="AH13" s="73">
        <f t="shared" ref="AH13" si="9">AH6/AH9</f>
        <v>0.13705689111239824</v>
      </c>
      <c r="AI13" s="35">
        <f>(AH13-B13)/B13</f>
        <v>2.4999006474476633</v>
      </c>
      <c r="AJ13" s="43"/>
    </row>
    <row r="14" spans="1:36" s="6" customFormat="1" ht="11.1" customHeight="1" x14ac:dyDescent="0.25">
      <c r="A14" s="53" t="s">
        <v>19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67"/>
      <c r="X14" s="17"/>
      <c r="Y14" s="68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6" s="6" customFormat="1" ht="11.1" customHeight="1" x14ac:dyDescent="0.25">
      <c r="A15" s="53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67"/>
      <c r="X15" s="17"/>
      <c r="Y15" s="69"/>
      <c r="Z15" s="17"/>
      <c r="AA15" s="17"/>
      <c r="AB15" s="17"/>
      <c r="AC15" s="17"/>
      <c r="AD15" s="17"/>
      <c r="AE15" s="17"/>
      <c r="AF15" s="17"/>
      <c r="AG15" s="17"/>
      <c r="AH15" s="17"/>
    </row>
  </sheetData>
  <mergeCells count="2">
    <mergeCell ref="A4:AI4"/>
    <mergeCell ref="A8:A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30192-02F2-447F-AD0E-65CB415853BE}">
  <dimension ref="A1:K85"/>
  <sheetViews>
    <sheetView zoomScale="150" zoomScaleNormal="150" workbookViewId="0"/>
  </sheetViews>
  <sheetFormatPr defaultRowHeight="15" x14ac:dyDescent="0.25"/>
  <cols>
    <col min="1" max="1" width="52.28515625" style="7" customWidth="1"/>
    <col min="2" max="2" width="8.5703125" bestFit="1" customWidth="1"/>
    <col min="3" max="3" width="8.85546875" bestFit="1" customWidth="1"/>
    <col min="4" max="4" width="8.5703125" bestFit="1" customWidth="1"/>
    <col min="5" max="5" width="8.85546875" bestFit="1" customWidth="1"/>
    <col min="6" max="7" width="8.5703125" bestFit="1" customWidth="1"/>
    <col min="8" max="8" width="17" style="8" bestFit="1" customWidth="1"/>
    <col min="9" max="9" width="10" style="8" customWidth="1"/>
    <col min="11" max="11" width="11.140625" style="111" bestFit="1" customWidth="1"/>
  </cols>
  <sheetData>
    <row r="1" spans="1:11" s="6" customFormat="1" ht="18.75" x14ac:dyDescent="0.25">
      <c r="A1" s="162" t="s">
        <v>186</v>
      </c>
      <c r="B1" s="3"/>
      <c r="C1" s="4"/>
      <c r="D1" s="3"/>
      <c r="E1" s="3"/>
      <c r="F1" s="3"/>
      <c r="G1" s="3"/>
      <c r="H1" s="5"/>
      <c r="I1" s="5"/>
      <c r="K1" s="110"/>
    </row>
    <row r="2" spans="1:11" ht="5.0999999999999996" customHeight="1" thickBot="1" x14ac:dyDescent="0.3">
      <c r="H2"/>
      <c r="I2"/>
    </row>
    <row r="3" spans="1:11" s="56" customFormat="1" ht="15" customHeight="1" thickBot="1" x14ac:dyDescent="0.3">
      <c r="A3" s="48" t="s">
        <v>0</v>
      </c>
      <c r="B3" s="9">
        <v>2019</v>
      </c>
      <c r="C3" s="9">
        <v>2020</v>
      </c>
      <c r="D3" s="9">
        <v>2021</v>
      </c>
      <c r="E3" s="9">
        <v>2022</v>
      </c>
      <c r="F3" s="9">
        <v>2023</v>
      </c>
      <c r="G3" s="9">
        <v>2024</v>
      </c>
      <c r="H3" s="54" t="s">
        <v>71</v>
      </c>
      <c r="I3" s="55"/>
      <c r="K3" s="110"/>
    </row>
    <row r="4" spans="1:11" s="56" customFormat="1" ht="15" customHeight="1" x14ac:dyDescent="0.25">
      <c r="A4" s="108" t="s">
        <v>112</v>
      </c>
      <c r="B4" s="109">
        <v>608</v>
      </c>
      <c r="C4" s="109">
        <v>626</v>
      </c>
      <c r="D4" s="109">
        <v>540</v>
      </c>
      <c r="E4" s="109">
        <v>885</v>
      </c>
      <c r="F4" s="109">
        <v>837</v>
      </c>
      <c r="G4" s="109">
        <v>559</v>
      </c>
      <c r="H4" s="116">
        <f t="shared" ref="H4:H20" si="0">(G4-B4)/B4</f>
        <v>-8.0592105263157895E-2</v>
      </c>
      <c r="I4" s="55"/>
      <c r="K4" s="113"/>
    </row>
    <row r="5" spans="1:11" s="56" customFormat="1" ht="15" customHeight="1" x14ac:dyDescent="0.25">
      <c r="A5" s="91" t="s">
        <v>74</v>
      </c>
      <c r="B5" s="92">
        <v>1531905</v>
      </c>
      <c r="C5" s="92">
        <v>1753157</v>
      </c>
      <c r="D5" s="92">
        <v>1307094</v>
      </c>
      <c r="E5" s="92">
        <v>2045537</v>
      </c>
      <c r="F5" s="92">
        <v>1709161</v>
      </c>
      <c r="G5" s="92">
        <v>1110519</v>
      </c>
      <c r="H5" s="46">
        <f t="shared" si="0"/>
        <v>-0.27507319318103929</v>
      </c>
      <c r="I5" s="55"/>
      <c r="K5" s="113"/>
    </row>
    <row r="6" spans="1:11" s="56" customFormat="1" ht="15" customHeight="1" x14ac:dyDescent="0.25">
      <c r="A6" s="88" t="s">
        <v>75</v>
      </c>
      <c r="B6" s="89">
        <v>520711</v>
      </c>
      <c r="C6" s="89">
        <v>569787</v>
      </c>
      <c r="D6" s="89">
        <v>523664</v>
      </c>
      <c r="E6" s="89">
        <v>1549042</v>
      </c>
      <c r="F6" s="89">
        <v>1905664</v>
      </c>
      <c r="G6" s="89">
        <v>968299</v>
      </c>
      <c r="H6" s="90">
        <f t="shared" si="0"/>
        <v>0.85957085600265792</v>
      </c>
      <c r="I6" s="55"/>
      <c r="K6" s="113"/>
    </row>
    <row r="7" spans="1:11" s="6" customFormat="1" ht="15" customHeight="1" x14ac:dyDescent="0.25">
      <c r="A7" s="94" t="s">
        <v>89</v>
      </c>
      <c r="B7" s="95">
        <f>SUM(B5:B6)</f>
        <v>2052616</v>
      </c>
      <c r="C7" s="95">
        <f t="shared" ref="C7:G7" si="1">SUM(C5:C6)</f>
        <v>2322944</v>
      </c>
      <c r="D7" s="95">
        <f t="shared" si="1"/>
        <v>1830758</v>
      </c>
      <c r="E7" s="95">
        <f t="shared" si="1"/>
        <v>3594579</v>
      </c>
      <c r="F7" s="95">
        <f t="shared" si="1"/>
        <v>3614825</v>
      </c>
      <c r="G7" s="95">
        <f t="shared" si="1"/>
        <v>2078818</v>
      </c>
      <c r="H7" s="96">
        <f t="shared" si="0"/>
        <v>1.2765173807473001E-2</v>
      </c>
      <c r="I7" s="43"/>
      <c r="K7" s="113"/>
    </row>
    <row r="8" spans="1:11" s="56" customFormat="1" ht="15" customHeight="1" x14ac:dyDescent="0.25">
      <c r="A8" s="99" t="s">
        <v>76</v>
      </c>
      <c r="B8" s="100">
        <v>58680</v>
      </c>
      <c r="C8" s="100">
        <v>152517</v>
      </c>
      <c r="D8" s="100">
        <v>52786</v>
      </c>
      <c r="E8" s="100">
        <v>130285</v>
      </c>
      <c r="F8" s="100">
        <v>70497</v>
      </c>
      <c r="G8" s="100">
        <v>29857</v>
      </c>
      <c r="H8" s="93">
        <f t="shared" si="0"/>
        <v>-0.49118950238582143</v>
      </c>
      <c r="I8" s="55"/>
      <c r="K8" s="113"/>
    </row>
    <row r="9" spans="1:11" s="56" customFormat="1" ht="15" customHeight="1" x14ac:dyDescent="0.25">
      <c r="A9" s="91" t="s">
        <v>244</v>
      </c>
      <c r="B9" s="92">
        <v>6539</v>
      </c>
      <c r="C9" s="92">
        <v>5344</v>
      </c>
      <c r="D9" s="92">
        <v>7425</v>
      </c>
      <c r="E9" s="92">
        <v>13779</v>
      </c>
      <c r="F9" s="92">
        <f>8003+508</f>
        <v>8511</v>
      </c>
      <c r="G9" s="92">
        <f>4079+392</f>
        <v>4471</v>
      </c>
      <c r="H9" s="46">
        <f t="shared" si="0"/>
        <v>-0.31625630830402202</v>
      </c>
      <c r="I9" s="55"/>
      <c r="K9" s="113"/>
    </row>
    <row r="10" spans="1:11" s="56" customFormat="1" ht="15" customHeight="1" x14ac:dyDescent="0.25">
      <c r="A10" s="88" t="s">
        <v>245</v>
      </c>
      <c r="B10" s="89">
        <v>6527</v>
      </c>
      <c r="C10" s="89">
        <v>5393</v>
      </c>
      <c r="D10" s="89">
        <v>7439</v>
      </c>
      <c r="E10" s="89">
        <v>13270</v>
      </c>
      <c r="F10" s="89">
        <f>3533+5088</f>
        <v>8621</v>
      </c>
      <c r="G10" s="89">
        <f>1644+2658</f>
        <v>4302</v>
      </c>
      <c r="H10" s="114">
        <f t="shared" si="0"/>
        <v>-0.34089168071089321</v>
      </c>
      <c r="I10" s="55"/>
      <c r="K10" s="113"/>
    </row>
    <row r="11" spans="1:11" s="56" customFormat="1" ht="15" customHeight="1" x14ac:dyDescent="0.25">
      <c r="A11" s="102" t="s">
        <v>83</v>
      </c>
      <c r="B11" s="103">
        <f>SUM(B9:B10)</f>
        <v>13066</v>
      </c>
      <c r="C11" s="103">
        <f t="shared" ref="C11:G11" si="2">SUM(C9:C10)</f>
        <v>10737</v>
      </c>
      <c r="D11" s="103">
        <f t="shared" si="2"/>
        <v>14864</v>
      </c>
      <c r="E11" s="103">
        <f t="shared" si="2"/>
        <v>27049</v>
      </c>
      <c r="F11" s="103">
        <f t="shared" si="2"/>
        <v>17132</v>
      </c>
      <c r="G11" s="103">
        <f t="shared" si="2"/>
        <v>8773</v>
      </c>
      <c r="H11" s="93">
        <f t="shared" si="0"/>
        <v>-0.32856268176947806</v>
      </c>
      <c r="I11" s="55"/>
      <c r="K11" s="113"/>
    </row>
    <row r="12" spans="1:11" s="56" customFormat="1" ht="15" customHeight="1" x14ac:dyDescent="0.25">
      <c r="A12" s="91" t="s">
        <v>77</v>
      </c>
      <c r="B12" s="92">
        <v>3055</v>
      </c>
      <c r="C12" s="92">
        <v>1235</v>
      </c>
      <c r="D12" s="92">
        <v>2396</v>
      </c>
      <c r="E12" s="92">
        <v>5363</v>
      </c>
      <c r="F12" s="92">
        <v>2576</v>
      </c>
      <c r="G12" s="92">
        <v>1622</v>
      </c>
      <c r="H12" s="46">
        <f t="shared" si="0"/>
        <v>-0.46906710310965632</v>
      </c>
      <c r="I12" s="55"/>
      <c r="K12" s="110"/>
    </row>
    <row r="13" spans="1:11" s="56" customFormat="1" ht="15" customHeight="1" x14ac:dyDescent="0.25">
      <c r="A13" s="97" t="s">
        <v>78</v>
      </c>
      <c r="B13" s="98">
        <v>36</v>
      </c>
      <c r="C13" s="98">
        <v>65</v>
      </c>
      <c r="D13" s="98">
        <v>60</v>
      </c>
      <c r="E13" s="98">
        <v>111</v>
      </c>
      <c r="F13" s="98">
        <v>56</v>
      </c>
      <c r="G13" s="98">
        <v>15</v>
      </c>
      <c r="H13" s="115">
        <f t="shared" si="0"/>
        <v>-0.58333333333333337</v>
      </c>
      <c r="I13" s="55"/>
      <c r="K13" s="110"/>
    </row>
    <row r="14" spans="1:11" s="106" customFormat="1" ht="15" customHeight="1" x14ac:dyDescent="0.25">
      <c r="A14" s="102" t="s">
        <v>96</v>
      </c>
      <c r="B14" s="103">
        <f>SUM(B12:B13)</f>
        <v>3091</v>
      </c>
      <c r="C14" s="103">
        <f t="shared" ref="C14:G14" si="3">SUM(C12:C13)</f>
        <v>1300</v>
      </c>
      <c r="D14" s="103">
        <f t="shared" si="3"/>
        <v>2456</v>
      </c>
      <c r="E14" s="103">
        <f t="shared" si="3"/>
        <v>5474</v>
      </c>
      <c r="F14" s="103">
        <f t="shared" si="3"/>
        <v>2632</v>
      </c>
      <c r="G14" s="103">
        <f t="shared" si="3"/>
        <v>1637</v>
      </c>
      <c r="H14" s="119">
        <f t="shared" si="0"/>
        <v>-0.47039792947266257</v>
      </c>
      <c r="I14" s="105"/>
      <c r="K14" s="112"/>
    </row>
    <row r="15" spans="1:11" s="56" customFormat="1" ht="15" customHeight="1" x14ac:dyDescent="0.25">
      <c r="A15" s="91" t="s">
        <v>79</v>
      </c>
      <c r="B15" s="92">
        <v>33600</v>
      </c>
      <c r="C15" s="92">
        <v>29640</v>
      </c>
      <c r="D15" s="92">
        <v>31655</v>
      </c>
      <c r="E15" s="92">
        <v>40751</v>
      </c>
      <c r="F15" s="92">
        <v>32492</v>
      </c>
      <c r="G15" s="92">
        <v>23544</v>
      </c>
      <c r="H15" s="46">
        <f t="shared" si="0"/>
        <v>-0.29928571428571427</v>
      </c>
      <c r="I15" s="55"/>
      <c r="K15" s="110"/>
    </row>
    <row r="16" spans="1:11" s="56" customFormat="1" ht="15" customHeight="1" x14ac:dyDescent="0.25">
      <c r="A16" s="88" t="s">
        <v>80</v>
      </c>
      <c r="B16" s="89">
        <v>21049</v>
      </c>
      <c r="C16" s="89">
        <v>19828</v>
      </c>
      <c r="D16" s="89">
        <v>16557</v>
      </c>
      <c r="E16" s="89">
        <v>827</v>
      </c>
      <c r="F16" s="89">
        <v>714</v>
      </c>
      <c r="G16" s="89">
        <v>468</v>
      </c>
      <c r="H16" s="114">
        <f t="shared" si="0"/>
        <v>-0.97776616466340449</v>
      </c>
      <c r="I16" s="55"/>
      <c r="K16" s="110"/>
    </row>
    <row r="17" spans="1:11" s="106" customFormat="1" ht="15" customHeight="1" x14ac:dyDescent="0.25">
      <c r="A17" s="102" t="s">
        <v>84</v>
      </c>
      <c r="B17" s="103">
        <f>SUM(B15:B16)</f>
        <v>54649</v>
      </c>
      <c r="C17" s="103">
        <f t="shared" ref="C17:G17" si="4">SUM(C15:C16)</f>
        <v>49468</v>
      </c>
      <c r="D17" s="103">
        <f t="shared" si="4"/>
        <v>48212</v>
      </c>
      <c r="E17" s="103">
        <f t="shared" si="4"/>
        <v>41578</v>
      </c>
      <c r="F17" s="103">
        <f t="shared" si="4"/>
        <v>33206</v>
      </c>
      <c r="G17" s="103">
        <f t="shared" si="4"/>
        <v>24012</v>
      </c>
      <c r="H17" s="115">
        <f t="shared" si="0"/>
        <v>-0.56061410089846109</v>
      </c>
      <c r="I17" s="105"/>
      <c r="K17" s="112"/>
    </row>
    <row r="18" spans="1:11" s="56" customFormat="1" ht="15" customHeight="1" x14ac:dyDescent="0.25">
      <c r="A18" s="91" t="s">
        <v>81</v>
      </c>
      <c r="B18" s="92">
        <v>253</v>
      </c>
      <c r="C18" s="92">
        <v>1238</v>
      </c>
      <c r="D18" s="104">
        <v>0</v>
      </c>
      <c r="E18" s="92">
        <v>15689</v>
      </c>
      <c r="F18" s="92">
        <v>666</v>
      </c>
      <c r="G18" s="92">
        <f>14+20+2</f>
        <v>36</v>
      </c>
      <c r="H18" s="46">
        <f t="shared" si="0"/>
        <v>-0.85770750988142297</v>
      </c>
      <c r="I18" s="55"/>
      <c r="K18" s="110"/>
    </row>
    <row r="19" spans="1:11" s="56" customFormat="1" ht="15" customHeight="1" x14ac:dyDescent="0.25">
      <c r="A19" s="88" t="s">
        <v>82</v>
      </c>
      <c r="B19" s="89">
        <v>9905</v>
      </c>
      <c r="C19" s="89">
        <v>9377</v>
      </c>
      <c r="D19" s="89">
        <v>12095</v>
      </c>
      <c r="E19" s="89">
        <v>23058</v>
      </c>
      <c r="F19" s="89">
        <v>29896</v>
      </c>
      <c r="G19" s="89">
        <v>21814</v>
      </c>
      <c r="H19" s="90">
        <f t="shared" si="0"/>
        <v>1.2023220595658759</v>
      </c>
      <c r="I19" s="55"/>
      <c r="K19" s="110"/>
    </row>
    <row r="20" spans="1:11" s="56" customFormat="1" ht="15" customHeight="1" x14ac:dyDescent="0.25">
      <c r="A20" s="102" t="s">
        <v>85</v>
      </c>
      <c r="B20" s="103">
        <f>SUM(B18:B19)</f>
        <v>10158</v>
      </c>
      <c r="C20" s="103">
        <f t="shared" ref="C20:G20" si="5">SUM(C18:C19)</f>
        <v>10615</v>
      </c>
      <c r="D20" s="103">
        <f t="shared" si="5"/>
        <v>12095</v>
      </c>
      <c r="E20" s="103">
        <f t="shared" si="5"/>
        <v>38747</v>
      </c>
      <c r="F20" s="103">
        <f t="shared" si="5"/>
        <v>30562</v>
      </c>
      <c r="G20" s="103">
        <f t="shared" si="5"/>
        <v>21850</v>
      </c>
      <c r="H20" s="101">
        <f t="shared" si="0"/>
        <v>1.15101397912975</v>
      </c>
      <c r="I20" s="55"/>
      <c r="K20" s="110"/>
    </row>
    <row r="21" spans="1:11" s="6" customFormat="1" ht="15" customHeight="1" x14ac:dyDescent="0.25">
      <c r="A21" s="76" t="s">
        <v>72</v>
      </c>
      <c r="B21" s="107">
        <v>28826</v>
      </c>
      <c r="C21" s="107">
        <v>26011</v>
      </c>
      <c r="D21" s="107">
        <v>25269</v>
      </c>
      <c r="E21" s="107">
        <v>19119</v>
      </c>
      <c r="F21" s="107">
        <v>32982</v>
      </c>
      <c r="G21" s="107">
        <v>5325</v>
      </c>
      <c r="H21" s="46">
        <f>(G21-B21)/B21</f>
        <v>-0.81527093596059108</v>
      </c>
      <c r="I21" s="38"/>
      <c r="K21" s="110"/>
    </row>
    <row r="22" spans="1:11" s="6" customFormat="1" ht="15" customHeight="1" x14ac:dyDescent="0.25">
      <c r="A22" s="49" t="s">
        <v>73</v>
      </c>
      <c r="B22" s="23">
        <v>20629</v>
      </c>
      <c r="C22" s="23">
        <v>18531</v>
      </c>
      <c r="D22" s="23">
        <v>16201</v>
      </c>
      <c r="E22" s="23">
        <v>40751</v>
      </c>
      <c r="F22" s="23">
        <v>37146</v>
      </c>
      <c r="G22" s="23">
        <v>34134</v>
      </c>
      <c r="H22" s="32">
        <f>(G22-B22)/B22</f>
        <v>0.65466091424693396</v>
      </c>
      <c r="I22" s="43"/>
      <c r="K22" s="110"/>
    </row>
    <row r="23" spans="1:11" s="6" customFormat="1" ht="15" customHeight="1" thickBot="1" x14ac:dyDescent="0.3">
      <c r="A23" s="49" t="s">
        <v>86</v>
      </c>
      <c r="B23" s="23">
        <v>15025413</v>
      </c>
      <c r="C23" s="23">
        <v>14035124</v>
      </c>
      <c r="D23" s="23">
        <v>22969008</v>
      </c>
      <c r="E23" s="23">
        <v>19506705</v>
      </c>
      <c r="F23" s="23">
        <v>29591153</v>
      </c>
      <c r="G23" s="23">
        <v>29429288</v>
      </c>
      <c r="H23" s="32">
        <f>(G23-B23)/B23</f>
        <v>0.95863421524586379</v>
      </c>
      <c r="I23" s="43"/>
      <c r="K23" s="110"/>
    </row>
    <row r="24" spans="1:11" s="6" customFormat="1" ht="15" customHeight="1" thickBot="1" x14ac:dyDescent="0.3">
      <c r="A24" s="222" t="s">
        <v>120</v>
      </c>
      <c r="B24" s="222"/>
      <c r="C24" s="222"/>
      <c r="D24" s="222"/>
      <c r="E24" s="222"/>
      <c r="F24" s="222"/>
      <c r="G24" s="222"/>
      <c r="H24" s="222"/>
      <c r="I24" s="43"/>
      <c r="K24" s="110"/>
    </row>
    <row r="25" spans="1:11" s="6" customFormat="1" ht="15" customHeight="1" x14ac:dyDescent="0.25">
      <c r="A25" s="76" t="s">
        <v>117</v>
      </c>
      <c r="B25" s="107">
        <v>151750</v>
      </c>
      <c r="C25" s="107">
        <v>151750</v>
      </c>
      <c r="D25" s="107">
        <v>151750</v>
      </c>
      <c r="E25" s="107">
        <v>151750</v>
      </c>
      <c r="F25" s="107">
        <v>151750</v>
      </c>
      <c r="G25" s="107">
        <v>151750</v>
      </c>
      <c r="H25" s="126">
        <f>(G25-B25)/B25</f>
        <v>0</v>
      </c>
      <c r="I25" s="38"/>
      <c r="K25" s="110"/>
    </row>
    <row r="26" spans="1:11" s="6" customFormat="1" ht="15" customHeight="1" x14ac:dyDescent="0.25">
      <c r="A26" s="49" t="s">
        <v>118</v>
      </c>
      <c r="B26" s="23">
        <v>55</v>
      </c>
      <c r="C26" s="23">
        <v>55</v>
      </c>
      <c r="D26" s="23">
        <v>55</v>
      </c>
      <c r="E26" s="23">
        <v>55</v>
      </c>
      <c r="F26" s="23">
        <v>55</v>
      </c>
      <c r="G26" s="23">
        <v>55</v>
      </c>
      <c r="H26" s="125">
        <f>(G26-B26)/B26</f>
        <v>0</v>
      </c>
      <c r="I26" s="43"/>
      <c r="K26" s="110"/>
    </row>
    <row r="27" spans="1:11" s="6" customFormat="1" ht="15" customHeight="1" thickBot="1" x14ac:dyDescent="0.3">
      <c r="A27" s="49" t="s">
        <v>119</v>
      </c>
      <c r="B27" s="23">
        <v>46</v>
      </c>
      <c r="C27" s="23">
        <v>46</v>
      </c>
      <c r="D27" s="23">
        <v>46</v>
      </c>
      <c r="E27" s="23">
        <v>46</v>
      </c>
      <c r="F27" s="23">
        <v>46</v>
      </c>
      <c r="G27" s="23">
        <v>46</v>
      </c>
      <c r="H27" s="125">
        <f>(G27-B27)/B27</f>
        <v>0</v>
      </c>
      <c r="I27" s="43"/>
      <c r="K27" s="110"/>
    </row>
    <row r="28" spans="1:11" s="6" customFormat="1" ht="15" customHeight="1" thickBot="1" x14ac:dyDescent="0.3">
      <c r="A28" s="225" t="s">
        <v>22</v>
      </c>
      <c r="B28" s="225"/>
      <c r="C28" s="225"/>
      <c r="D28" s="225"/>
      <c r="E28" s="225"/>
      <c r="F28" s="225"/>
      <c r="G28" s="225"/>
      <c r="H28" s="225"/>
      <c r="I28" s="36"/>
      <c r="K28" s="110"/>
    </row>
    <row r="29" spans="1:11" s="6" customFormat="1" ht="15" customHeight="1" thickBot="1" x14ac:dyDescent="0.3">
      <c r="A29" s="222" t="s">
        <v>87</v>
      </c>
      <c r="B29" s="222"/>
      <c r="C29" s="222"/>
      <c r="D29" s="222"/>
      <c r="E29" s="222"/>
      <c r="F29" s="222"/>
      <c r="G29" s="222"/>
      <c r="H29" s="222"/>
      <c r="I29" s="43"/>
      <c r="K29" s="110"/>
    </row>
    <row r="30" spans="1:11" s="6" customFormat="1" ht="15" customHeight="1" x14ac:dyDescent="0.25">
      <c r="A30" s="49" t="s">
        <v>113</v>
      </c>
      <c r="B30" s="23">
        <f t="shared" ref="B30:G30" si="6">B7/B4</f>
        <v>3376.0131578947367</v>
      </c>
      <c r="C30" s="23">
        <f t="shared" si="6"/>
        <v>3710.773162939297</v>
      </c>
      <c r="D30" s="23">
        <f t="shared" si="6"/>
        <v>3390.2925925925924</v>
      </c>
      <c r="E30" s="23">
        <f t="shared" si="6"/>
        <v>4061.671186440678</v>
      </c>
      <c r="F30" s="23">
        <f t="shared" si="6"/>
        <v>4318.78733572282</v>
      </c>
      <c r="G30" s="23">
        <f t="shared" si="6"/>
        <v>3718.8157423971379</v>
      </c>
      <c r="H30" s="117">
        <f t="shared" ref="H30" si="7">(G30-B30)/B30</f>
        <v>0.10154065415911206</v>
      </c>
      <c r="I30" s="43"/>
      <c r="K30" s="110"/>
    </row>
    <row r="31" spans="1:11" s="6" customFormat="1" ht="15" customHeight="1" x14ac:dyDescent="0.25">
      <c r="A31" s="49" t="s">
        <v>88</v>
      </c>
      <c r="B31" s="87">
        <f t="shared" ref="B31:G31" si="8">B5/B6</f>
        <v>2.9419486048883163</v>
      </c>
      <c r="C31" s="87">
        <f t="shared" si="8"/>
        <v>3.0768638105116475</v>
      </c>
      <c r="D31" s="87">
        <f t="shared" si="8"/>
        <v>2.4960547221118885</v>
      </c>
      <c r="E31" s="87">
        <f t="shared" si="8"/>
        <v>1.3205174553046335</v>
      </c>
      <c r="F31" s="87">
        <f t="shared" si="8"/>
        <v>0.89688476037748521</v>
      </c>
      <c r="G31" s="87">
        <f t="shared" si="8"/>
        <v>1.1468761198761952</v>
      </c>
      <c r="H31" s="11">
        <f>(G31-B31)/B31</f>
        <v>-0.61016446107503175</v>
      </c>
      <c r="I31" s="43"/>
      <c r="K31" s="110"/>
    </row>
    <row r="32" spans="1:11" s="6" customFormat="1" ht="23.25" thickBot="1" x14ac:dyDescent="0.3">
      <c r="A32" s="49" t="s">
        <v>90</v>
      </c>
      <c r="B32" s="118">
        <f t="shared" ref="B32:G32" si="9">B8/B7</f>
        <v>2.858790928259353E-2</v>
      </c>
      <c r="C32" s="118">
        <f t="shared" si="9"/>
        <v>6.565677002975534E-2</v>
      </c>
      <c r="D32" s="118">
        <f t="shared" si="9"/>
        <v>2.8832865949513807E-2</v>
      </c>
      <c r="E32" s="118">
        <f t="shared" si="9"/>
        <v>3.6244856490843573E-2</v>
      </c>
      <c r="F32" s="118">
        <f t="shared" si="9"/>
        <v>1.9502188902643974E-2</v>
      </c>
      <c r="G32" s="118">
        <f t="shared" si="9"/>
        <v>1.4362488683473012E-2</v>
      </c>
      <c r="H32" s="11">
        <f t="shared" ref="H32" si="10">(G32-B32)/B32</f>
        <v>-0.49760269135113089</v>
      </c>
      <c r="I32" s="43"/>
      <c r="K32" s="110"/>
    </row>
    <row r="33" spans="1:11" s="6" customFormat="1" ht="15" customHeight="1" thickBot="1" x14ac:dyDescent="0.3">
      <c r="A33" s="222" t="s">
        <v>94</v>
      </c>
      <c r="B33" s="222"/>
      <c r="C33" s="222"/>
      <c r="D33" s="222"/>
      <c r="E33" s="222"/>
      <c r="F33" s="222"/>
      <c r="G33" s="222"/>
      <c r="H33" s="222"/>
      <c r="I33" s="43"/>
      <c r="K33" s="110"/>
    </row>
    <row r="34" spans="1:11" s="6" customFormat="1" ht="15" customHeight="1" x14ac:dyDescent="0.25">
      <c r="A34" s="49" t="s">
        <v>92</v>
      </c>
      <c r="B34" s="87">
        <f t="shared" ref="B34:G34" si="11">B7/B11</f>
        <v>157.09597428440227</v>
      </c>
      <c r="C34" s="87">
        <f t="shared" si="11"/>
        <v>216.34944584148272</v>
      </c>
      <c r="D34" s="87">
        <f t="shared" si="11"/>
        <v>123.16724973089343</v>
      </c>
      <c r="E34" s="87">
        <f t="shared" si="11"/>
        <v>132.89138230618508</v>
      </c>
      <c r="F34" s="87">
        <f t="shared" si="11"/>
        <v>210.99842400186785</v>
      </c>
      <c r="G34" s="87">
        <f t="shared" si="11"/>
        <v>236.95634332611422</v>
      </c>
      <c r="H34" s="117">
        <f t="shared" ref="H34" si="12">(G34-B34)/B34</f>
        <v>0.50835401356074794</v>
      </c>
      <c r="I34" s="43"/>
      <c r="K34" s="110"/>
    </row>
    <row r="35" spans="1:11" s="6" customFormat="1" ht="15" customHeight="1" thickBot="1" x14ac:dyDescent="0.3">
      <c r="A35" s="49" t="s">
        <v>93</v>
      </c>
      <c r="B35" s="87">
        <f t="shared" ref="B35:G35" si="13">B9/B10</f>
        <v>1.0018385169296766</v>
      </c>
      <c r="C35" s="87">
        <f t="shared" si="13"/>
        <v>0.99091414796959021</v>
      </c>
      <c r="D35" s="87">
        <f t="shared" si="13"/>
        <v>0.99811802661648075</v>
      </c>
      <c r="E35" s="87">
        <f t="shared" si="13"/>
        <v>1.0383571966842502</v>
      </c>
      <c r="F35" s="87">
        <f t="shared" si="13"/>
        <v>0.98724045934346361</v>
      </c>
      <c r="G35" s="87">
        <f t="shared" si="13"/>
        <v>1.0392840539284054</v>
      </c>
      <c r="H35" s="32">
        <f>(G35-B35)/B35</f>
        <v>3.7376819084065253E-2</v>
      </c>
      <c r="I35" s="43"/>
      <c r="K35" s="110"/>
    </row>
    <row r="36" spans="1:11" s="6" customFormat="1" ht="15" customHeight="1" thickBot="1" x14ac:dyDescent="0.3">
      <c r="A36" s="222" t="s">
        <v>95</v>
      </c>
      <c r="B36" s="222"/>
      <c r="C36" s="222"/>
      <c r="D36" s="222"/>
      <c r="E36" s="222"/>
      <c r="F36" s="222"/>
      <c r="G36" s="222"/>
      <c r="H36" s="222"/>
      <c r="I36" s="43"/>
      <c r="K36" s="110"/>
    </row>
    <row r="37" spans="1:11" s="6" customFormat="1" ht="15" customHeight="1" thickBot="1" x14ac:dyDescent="0.3">
      <c r="A37" s="49" t="s">
        <v>97</v>
      </c>
      <c r="B37" s="118">
        <f t="shared" ref="B37:G37" si="14">B12/B14</f>
        <v>0.98835328372694919</v>
      </c>
      <c r="C37" s="118">
        <f t="shared" si="14"/>
        <v>0.95</v>
      </c>
      <c r="D37" s="118">
        <f t="shared" si="14"/>
        <v>0.97557003257328989</v>
      </c>
      <c r="E37" s="118">
        <f t="shared" si="14"/>
        <v>0.97972232371209356</v>
      </c>
      <c r="F37" s="118">
        <f t="shared" si="14"/>
        <v>0.97872340425531912</v>
      </c>
      <c r="G37" s="118">
        <f t="shared" si="14"/>
        <v>0.99083689676237019</v>
      </c>
      <c r="H37" s="117">
        <f t="shared" ref="H37" si="15">(G37-B37)/B37</f>
        <v>2.5128798338744014E-3</v>
      </c>
      <c r="I37" s="43"/>
      <c r="K37" s="110"/>
    </row>
    <row r="38" spans="1:11" s="6" customFormat="1" ht="15" customHeight="1" thickBot="1" x14ac:dyDescent="0.3">
      <c r="A38" s="222" t="s">
        <v>98</v>
      </c>
      <c r="B38" s="222"/>
      <c r="C38" s="222"/>
      <c r="D38" s="222"/>
      <c r="E38" s="222"/>
      <c r="F38" s="222"/>
      <c r="G38" s="222"/>
      <c r="H38" s="222"/>
      <c r="I38" s="43"/>
      <c r="K38" s="110"/>
    </row>
    <row r="39" spans="1:11" s="6" customFormat="1" ht="17.25" customHeight="1" x14ac:dyDescent="0.25">
      <c r="A39" s="49" t="s">
        <v>101</v>
      </c>
      <c r="B39" s="23">
        <f t="shared" ref="B39:G39" si="16">B17+B20</f>
        <v>64807</v>
      </c>
      <c r="C39" s="23">
        <f t="shared" si="16"/>
        <v>60083</v>
      </c>
      <c r="D39" s="23">
        <f t="shared" si="16"/>
        <v>60307</v>
      </c>
      <c r="E39" s="23">
        <f t="shared" si="16"/>
        <v>80325</v>
      </c>
      <c r="F39" s="23">
        <f t="shared" si="16"/>
        <v>63768</v>
      </c>
      <c r="G39" s="23">
        <f t="shared" si="16"/>
        <v>45862</v>
      </c>
      <c r="H39" s="120">
        <f t="shared" ref="H39" si="17">(G39-B39)/B39</f>
        <v>-0.2923295323036092</v>
      </c>
      <c r="I39" s="43"/>
      <c r="K39" s="110"/>
    </row>
    <row r="40" spans="1:11" s="6" customFormat="1" ht="15" customHeight="1" x14ac:dyDescent="0.25">
      <c r="A40" s="49" t="s">
        <v>99</v>
      </c>
      <c r="B40" s="118">
        <f t="shared" ref="B40:G40" si="18">B17/B39</f>
        <v>0.84325767278226116</v>
      </c>
      <c r="C40" s="118">
        <f t="shared" si="18"/>
        <v>0.82332772997353665</v>
      </c>
      <c r="D40" s="118">
        <f t="shared" si="18"/>
        <v>0.79944285074701116</v>
      </c>
      <c r="E40" s="118">
        <f t="shared" si="18"/>
        <v>0.51762215997510119</v>
      </c>
      <c r="F40" s="118">
        <f t="shared" si="18"/>
        <v>0.52073140132982065</v>
      </c>
      <c r="G40" s="118">
        <f t="shared" si="18"/>
        <v>0.52357071213640927</v>
      </c>
      <c r="H40" s="11">
        <f>(G40-B40)/B40</f>
        <v>-0.37910945961638315</v>
      </c>
      <c r="I40" s="43"/>
      <c r="K40" s="110"/>
    </row>
    <row r="41" spans="1:11" s="6" customFormat="1" ht="15" customHeight="1" x14ac:dyDescent="0.25">
      <c r="A41" s="49" t="s">
        <v>100</v>
      </c>
      <c r="B41" s="118">
        <f t="shared" ref="B41:G41" si="19">B20/B39</f>
        <v>0.15674232721773881</v>
      </c>
      <c r="C41" s="118">
        <f t="shared" si="19"/>
        <v>0.17667227002646338</v>
      </c>
      <c r="D41" s="118">
        <f t="shared" si="19"/>
        <v>0.20055714925298887</v>
      </c>
      <c r="E41" s="118">
        <f t="shared" si="19"/>
        <v>0.48237784002489886</v>
      </c>
      <c r="F41" s="118">
        <f t="shared" si="19"/>
        <v>0.4792685986701794</v>
      </c>
      <c r="G41" s="118">
        <f t="shared" si="19"/>
        <v>0.47642928786359079</v>
      </c>
      <c r="H41" s="32">
        <f t="shared" ref="H41:H42" si="20">(G41-B41)/B41</f>
        <v>2.0395700786154491</v>
      </c>
      <c r="I41" s="43"/>
      <c r="K41" s="110"/>
    </row>
    <row r="42" spans="1:11" s="6" customFormat="1" ht="15" customHeight="1" thickBot="1" x14ac:dyDescent="0.3">
      <c r="A42" s="49" t="s">
        <v>114</v>
      </c>
      <c r="B42" s="87">
        <f t="shared" ref="B42:G42" si="21">B21/B4</f>
        <v>47.411184210526315</v>
      </c>
      <c r="C42" s="87">
        <f t="shared" si="21"/>
        <v>41.551118210862619</v>
      </c>
      <c r="D42" s="87">
        <f t="shared" si="21"/>
        <v>46.794444444444444</v>
      </c>
      <c r="E42" s="87">
        <f t="shared" si="21"/>
        <v>21.603389830508476</v>
      </c>
      <c r="F42" s="87">
        <f t="shared" si="21"/>
        <v>39.405017921146957</v>
      </c>
      <c r="G42" s="87">
        <f t="shared" si="21"/>
        <v>9.5259391771019679</v>
      </c>
      <c r="H42" s="11">
        <f t="shared" si="20"/>
        <v>-0.79907822730597389</v>
      </c>
      <c r="I42" s="43"/>
      <c r="K42" s="110"/>
    </row>
    <row r="43" spans="1:11" s="6" customFormat="1" ht="15" customHeight="1" thickBot="1" x14ac:dyDescent="0.3">
      <c r="A43" s="222" t="s">
        <v>102</v>
      </c>
      <c r="B43" s="222"/>
      <c r="C43" s="222"/>
      <c r="D43" s="222"/>
      <c r="E43" s="222"/>
      <c r="F43" s="222"/>
      <c r="G43" s="222"/>
      <c r="H43" s="222"/>
      <c r="I43" s="43"/>
      <c r="K43" s="110"/>
    </row>
    <row r="44" spans="1:11" s="6" customFormat="1" ht="17.25" customHeight="1" x14ac:dyDescent="0.25">
      <c r="A44" s="49" t="s">
        <v>103</v>
      </c>
      <c r="B44" s="87">
        <f t="shared" ref="B44:G44" si="22">B21/B11</f>
        <v>2.2061839889790296</v>
      </c>
      <c r="C44" s="87">
        <f t="shared" si="22"/>
        <v>2.422557511409146</v>
      </c>
      <c r="D44" s="87">
        <f t="shared" si="22"/>
        <v>1.7000134553283099</v>
      </c>
      <c r="E44" s="87">
        <f t="shared" si="22"/>
        <v>0.70682834855262666</v>
      </c>
      <c r="F44" s="87">
        <f t="shared" si="22"/>
        <v>1.9251692738734532</v>
      </c>
      <c r="G44" s="87">
        <f t="shared" si="22"/>
        <v>0.60697594893423001</v>
      </c>
      <c r="H44" s="120">
        <f t="shared" ref="H44" si="23">(G44-B44)/B44</f>
        <v>-0.72487519084248075</v>
      </c>
      <c r="I44" s="43"/>
      <c r="K44" s="110"/>
    </row>
    <row r="45" spans="1:11" s="6" customFormat="1" ht="15" customHeight="1" thickBot="1" x14ac:dyDescent="0.3">
      <c r="A45" s="49" t="s">
        <v>104</v>
      </c>
      <c r="B45" s="121">
        <f t="shared" ref="B45:G45" si="24">B7/B17</f>
        <v>37.559991948617544</v>
      </c>
      <c r="C45" s="121">
        <f t="shared" si="24"/>
        <v>46.958518638311638</v>
      </c>
      <c r="D45" s="121">
        <f t="shared" si="24"/>
        <v>37.973077242180374</v>
      </c>
      <c r="E45" s="121">
        <f t="shared" si="24"/>
        <v>86.453869835008902</v>
      </c>
      <c r="F45" s="121">
        <f t="shared" si="24"/>
        <v>108.8605974823827</v>
      </c>
      <c r="G45" s="121">
        <f t="shared" si="24"/>
        <v>86.574129601865735</v>
      </c>
      <c r="H45" s="32">
        <f>(G45-B45)/B45</f>
        <v>1.3049560212978757</v>
      </c>
      <c r="I45" s="43"/>
      <c r="K45" s="110"/>
    </row>
    <row r="46" spans="1:11" s="6" customFormat="1" ht="15" customHeight="1" thickBot="1" x14ac:dyDescent="0.3">
      <c r="A46" s="222" t="s">
        <v>105</v>
      </c>
      <c r="B46" s="222"/>
      <c r="C46" s="222"/>
      <c r="D46" s="222"/>
      <c r="E46" s="222"/>
      <c r="F46" s="222"/>
      <c r="G46" s="222"/>
      <c r="H46" s="222"/>
      <c r="I46" s="43"/>
      <c r="K46" s="110"/>
    </row>
    <row r="47" spans="1:11" s="6" customFormat="1" ht="17.25" customHeight="1" x14ac:dyDescent="0.25">
      <c r="A47" s="49" t="s">
        <v>106</v>
      </c>
      <c r="B47" s="87">
        <f t="shared" ref="B47:G47" si="25">B23/B7</f>
        <v>7.3201285578987987</v>
      </c>
      <c r="C47" s="87">
        <f t="shared" si="25"/>
        <v>6.0419553807582105</v>
      </c>
      <c r="D47" s="87">
        <f t="shared" si="25"/>
        <v>12.546173770645821</v>
      </c>
      <c r="E47" s="87">
        <f t="shared" si="25"/>
        <v>5.4267008737323623</v>
      </c>
      <c r="F47" s="87">
        <f t="shared" si="25"/>
        <v>8.1860540966713469</v>
      </c>
      <c r="G47" s="87">
        <f t="shared" si="25"/>
        <v>14.156740994161105</v>
      </c>
      <c r="H47" s="117">
        <f t="shared" ref="H47" si="26">(G47-B47)/B47</f>
        <v>0.93394704508095638</v>
      </c>
      <c r="I47" s="43"/>
      <c r="K47" s="110"/>
    </row>
    <row r="48" spans="1:11" s="6" customFormat="1" ht="15" customHeight="1" x14ac:dyDescent="0.25">
      <c r="A48" s="49" t="s">
        <v>107</v>
      </c>
      <c r="B48" s="121">
        <f t="shared" ref="B48:G48" si="27">B23/B39</f>
        <v>231.84861203265081</v>
      </c>
      <c r="C48" s="121">
        <f t="shared" si="27"/>
        <v>233.59559276334403</v>
      </c>
      <c r="D48" s="121">
        <f t="shared" si="27"/>
        <v>380.86802527069824</v>
      </c>
      <c r="E48" s="121">
        <f t="shared" si="27"/>
        <v>242.84724556489263</v>
      </c>
      <c r="F48" s="121">
        <f t="shared" si="27"/>
        <v>464.04392485259064</v>
      </c>
      <c r="G48" s="121">
        <f t="shared" si="27"/>
        <v>641.69220705595046</v>
      </c>
      <c r="H48" s="32">
        <f>(G48-B48)/B48</f>
        <v>1.7677207184038788</v>
      </c>
      <c r="I48" s="43"/>
      <c r="K48" s="110"/>
    </row>
    <row r="49" spans="1:11" s="6" customFormat="1" ht="15" customHeight="1" x14ac:dyDescent="0.25">
      <c r="A49" s="49" t="s">
        <v>115</v>
      </c>
      <c r="B49" s="122">
        <f>B23/B4</f>
        <v>24712.85032894737</v>
      </c>
      <c r="C49" s="122">
        <f t="shared" ref="C49:G49" si="28">C23/C4</f>
        <v>22420.325878594249</v>
      </c>
      <c r="D49" s="122">
        <f t="shared" si="28"/>
        <v>42535.199999999997</v>
      </c>
      <c r="E49" s="122">
        <f t="shared" si="28"/>
        <v>22041.474576271186</v>
      </c>
      <c r="F49" s="122">
        <f t="shared" si="28"/>
        <v>35353.826762246114</v>
      </c>
      <c r="G49" s="122">
        <f t="shared" si="28"/>
        <v>52646.311270125225</v>
      </c>
      <c r="H49" s="32">
        <f t="shared" ref="H49:H50" si="29">(G49-B49)/B49</f>
        <v>1.1303212931475584</v>
      </c>
      <c r="I49" s="43"/>
      <c r="K49" s="110"/>
    </row>
    <row r="50" spans="1:11" s="6" customFormat="1" ht="15" customHeight="1" thickBot="1" x14ac:dyDescent="0.3">
      <c r="A50" s="49" t="s">
        <v>108</v>
      </c>
      <c r="B50" s="23">
        <f>B23/B11</f>
        <v>1149.9627276901883</v>
      </c>
      <c r="C50" s="23">
        <f t="shared" ref="C50:G50" si="30">C23/C11</f>
        <v>1307.1736984260035</v>
      </c>
      <c r="D50" s="23">
        <f t="shared" si="30"/>
        <v>1545.2777179763186</v>
      </c>
      <c r="E50" s="23">
        <f t="shared" si="30"/>
        <v>721.16178047247593</v>
      </c>
      <c r="F50" s="23">
        <f t="shared" si="30"/>
        <v>1727.2445131916882</v>
      </c>
      <c r="G50" s="23">
        <f t="shared" si="30"/>
        <v>3354.5295793913142</v>
      </c>
      <c r="H50" s="32">
        <f t="shared" si="29"/>
        <v>1.9170767874618095</v>
      </c>
      <c r="I50" s="43"/>
      <c r="K50" s="110"/>
    </row>
    <row r="51" spans="1:11" s="6" customFormat="1" ht="15" customHeight="1" thickBot="1" x14ac:dyDescent="0.3">
      <c r="A51" s="222" t="s">
        <v>109</v>
      </c>
      <c r="B51" s="222"/>
      <c r="C51" s="222"/>
      <c r="D51" s="222"/>
      <c r="E51" s="222"/>
      <c r="F51" s="222"/>
      <c r="G51" s="222"/>
      <c r="H51" s="222"/>
      <c r="I51" s="43"/>
      <c r="K51" s="110"/>
    </row>
    <row r="52" spans="1:11" s="6" customFormat="1" ht="22.5" x14ac:dyDescent="0.25">
      <c r="A52" s="49" t="s">
        <v>110</v>
      </c>
      <c r="B52" s="118">
        <f>B6/B7</f>
        <v>0.25368164332734422</v>
      </c>
      <c r="C52" s="118">
        <f t="shared" ref="C52:G52" si="31">C6/C7</f>
        <v>0.24528658460987438</v>
      </c>
      <c r="D52" s="118">
        <f t="shared" si="31"/>
        <v>0.28603671266218694</v>
      </c>
      <c r="E52" s="118">
        <f t="shared" si="31"/>
        <v>0.43093836580027872</v>
      </c>
      <c r="F52" s="118">
        <f t="shared" si="31"/>
        <v>0.52718015394936135</v>
      </c>
      <c r="G52" s="118">
        <f t="shared" si="31"/>
        <v>0.46579306124922915</v>
      </c>
      <c r="H52" s="117">
        <f t="shared" ref="H52" si="32">(G52-B52)/B52</f>
        <v>0.83613230795805693</v>
      </c>
      <c r="I52" s="43"/>
      <c r="K52" s="110"/>
    </row>
    <row r="53" spans="1:11" s="6" customFormat="1" ht="23.25" thickBot="1" x14ac:dyDescent="0.3">
      <c r="A53" s="52" t="s">
        <v>111</v>
      </c>
      <c r="B53" s="123">
        <f>B5/B7</f>
        <v>0.74631835667265578</v>
      </c>
      <c r="C53" s="123">
        <f t="shared" ref="C53:G53" si="33">C5/C7</f>
        <v>0.7547134153901256</v>
      </c>
      <c r="D53" s="123">
        <f t="shared" si="33"/>
        <v>0.71396328733781311</v>
      </c>
      <c r="E53" s="123">
        <f t="shared" si="33"/>
        <v>0.56906163419972133</v>
      </c>
      <c r="F53" s="123">
        <f t="shared" si="33"/>
        <v>0.4728198460506387</v>
      </c>
      <c r="G53" s="123">
        <f t="shared" si="33"/>
        <v>0.53420693875077085</v>
      </c>
      <c r="H53" s="33">
        <f>(G53-B53)/B53</f>
        <v>-0.28421037218962519</v>
      </c>
      <c r="I53" s="43"/>
      <c r="K53" s="110"/>
    </row>
    <row r="54" spans="1:11" s="6" customFormat="1" ht="15" customHeight="1" thickBot="1" x14ac:dyDescent="0.3">
      <c r="A54" s="222" t="s">
        <v>123</v>
      </c>
      <c r="B54" s="222"/>
      <c r="C54" s="222"/>
      <c r="D54" s="222"/>
      <c r="E54" s="222"/>
      <c r="F54" s="222"/>
      <c r="G54" s="222"/>
      <c r="H54" s="222"/>
      <c r="I54" s="43"/>
      <c r="K54" s="110"/>
    </row>
    <row r="55" spans="1:11" s="6" customFormat="1" ht="17.25" customHeight="1" x14ac:dyDescent="0.25">
      <c r="A55" s="49" t="s">
        <v>152</v>
      </c>
      <c r="B55" s="87">
        <f>B7/B25</f>
        <v>13.526299835255355</v>
      </c>
      <c r="C55" s="87">
        <f t="shared" ref="C55:G55" si="34">C7/C25</f>
        <v>15.307703459637562</v>
      </c>
      <c r="D55" s="87">
        <f t="shared" si="34"/>
        <v>12.06430313014827</v>
      </c>
      <c r="E55" s="87">
        <f t="shared" si="34"/>
        <v>23.687505766062603</v>
      </c>
      <c r="F55" s="87">
        <f t="shared" si="34"/>
        <v>23.820922570016474</v>
      </c>
      <c r="G55" s="87">
        <f t="shared" si="34"/>
        <v>13.698965403624383</v>
      </c>
      <c r="H55" s="34">
        <f t="shared" ref="H55:H58" si="35">(G55-B55)/B55</f>
        <v>1.2765173807473043E-2</v>
      </c>
      <c r="I55" s="43"/>
      <c r="K55" s="110"/>
    </row>
    <row r="56" spans="1:11" s="6" customFormat="1" ht="17.25" customHeight="1" x14ac:dyDescent="0.25">
      <c r="A56" s="49" t="s">
        <v>151</v>
      </c>
      <c r="B56" s="87">
        <f>B39/B25</f>
        <v>0.42706425041186163</v>
      </c>
      <c r="C56" s="87">
        <f t="shared" ref="C56:G56" si="36">C39/C25</f>
        <v>0.3959341021416804</v>
      </c>
      <c r="D56" s="87">
        <f t="shared" si="36"/>
        <v>0.39741021416803957</v>
      </c>
      <c r="E56" s="87">
        <f t="shared" si="36"/>
        <v>0.52932454695222408</v>
      </c>
      <c r="F56" s="87">
        <f t="shared" si="36"/>
        <v>0.42021746293245471</v>
      </c>
      <c r="G56" s="87">
        <f t="shared" si="36"/>
        <v>0.30222075782537067</v>
      </c>
      <c r="H56" s="11">
        <f t="shared" si="35"/>
        <v>-0.29232953230360925</v>
      </c>
      <c r="I56" s="43"/>
      <c r="K56" s="110"/>
    </row>
    <row r="57" spans="1:11" s="6" customFormat="1" ht="17.25" customHeight="1" x14ac:dyDescent="0.25">
      <c r="A57" s="49" t="s">
        <v>124</v>
      </c>
      <c r="B57" s="87">
        <f>B11/B25</f>
        <v>8.6102141680395386E-2</v>
      </c>
      <c r="C57" s="87">
        <f t="shared" ref="C57:G57" si="37">C11/C25</f>
        <v>7.0754530477759467E-2</v>
      </c>
      <c r="D57" s="87">
        <f t="shared" si="37"/>
        <v>9.7950576606260303E-2</v>
      </c>
      <c r="E57" s="87">
        <f t="shared" si="37"/>
        <v>0.17824711696869852</v>
      </c>
      <c r="F57" s="87">
        <f t="shared" si="37"/>
        <v>0.11289621087314662</v>
      </c>
      <c r="G57" s="87">
        <f t="shared" si="37"/>
        <v>5.7812191103789129E-2</v>
      </c>
      <c r="H57" s="11">
        <f t="shared" si="35"/>
        <v>-0.328562681769478</v>
      </c>
      <c r="I57" s="43"/>
      <c r="K57" s="110"/>
    </row>
    <row r="58" spans="1:11" s="6" customFormat="1" ht="17.25" customHeight="1" thickBot="1" x14ac:dyDescent="0.3">
      <c r="A58" s="49" t="s">
        <v>125</v>
      </c>
      <c r="B58" s="124">
        <f>B4/B25</f>
        <v>4.0065897858319608E-3</v>
      </c>
      <c r="C58" s="124">
        <f t="shared" ref="C58:G58" si="38">C4/C25</f>
        <v>4.1252059308072488E-3</v>
      </c>
      <c r="D58" s="124">
        <f t="shared" si="38"/>
        <v>3.5584843492586491E-3</v>
      </c>
      <c r="E58" s="124">
        <f t="shared" si="38"/>
        <v>5.8319604612850082E-3</v>
      </c>
      <c r="F58" s="124">
        <f t="shared" si="38"/>
        <v>5.5156507413509064E-3</v>
      </c>
      <c r="G58" s="124">
        <f t="shared" si="38"/>
        <v>3.6836902800658979E-3</v>
      </c>
      <c r="H58" s="11">
        <f t="shared" si="35"/>
        <v>-8.0592105263157965E-2</v>
      </c>
      <c r="I58" s="43"/>
      <c r="K58" s="110"/>
    </row>
    <row r="59" spans="1:11" s="6" customFormat="1" ht="15" customHeight="1" thickBot="1" x14ac:dyDescent="0.3">
      <c r="A59" s="222" t="s">
        <v>126</v>
      </c>
      <c r="B59" s="222"/>
      <c r="C59" s="222"/>
      <c r="D59" s="222"/>
      <c r="E59" s="222"/>
      <c r="F59" s="222"/>
      <c r="G59" s="222"/>
      <c r="H59" s="222"/>
      <c r="I59" s="43"/>
      <c r="K59" s="110"/>
    </row>
    <row r="60" spans="1:11" s="6" customFormat="1" ht="17.25" customHeight="1" x14ac:dyDescent="0.25">
      <c r="A60" s="49" t="s">
        <v>127</v>
      </c>
      <c r="B60" s="23">
        <f>B39/B27</f>
        <v>1408.8478260869565</v>
      </c>
      <c r="C60" s="87">
        <f t="shared" ref="C60:G60" si="39">C12/C30</f>
        <v>0.33281473853868199</v>
      </c>
      <c r="D60" s="87">
        <f t="shared" si="39"/>
        <v>0.70672366309474</v>
      </c>
      <c r="E60" s="87">
        <f t="shared" si="39"/>
        <v>1.3203924576424666</v>
      </c>
      <c r="F60" s="87">
        <f t="shared" si="39"/>
        <v>0.59646372922617275</v>
      </c>
      <c r="G60" s="87">
        <f t="shared" si="39"/>
        <v>0.43616035651028612</v>
      </c>
      <c r="H60" s="13">
        <f t="shared" ref="H60:H63" si="40">(G60-B60)/B60</f>
        <v>-0.99969041343682818</v>
      </c>
      <c r="I60" s="43"/>
      <c r="K60" s="110"/>
    </row>
    <row r="61" spans="1:11" s="6" customFormat="1" ht="17.25" customHeight="1" x14ac:dyDescent="0.25">
      <c r="A61" s="49" t="s">
        <v>128</v>
      </c>
      <c r="B61" s="23">
        <f>B15/B27</f>
        <v>730.43478260869563</v>
      </c>
      <c r="C61" s="23">
        <f t="shared" ref="C61:G61" si="41">C15/C27</f>
        <v>644.3478260869565</v>
      </c>
      <c r="D61" s="23">
        <f t="shared" si="41"/>
        <v>688.1521739130435</v>
      </c>
      <c r="E61" s="23">
        <f t="shared" si="41"/>
        <v>885.89130434782612</v>
      </c>
      <c r="F61" s="23">
        <f t="shared" si="41"/>
        <v>706.3478260869565</v>
      </c>
      <c r="G61" s="23">
        <f t="shared" si="41"/>
        <v>511.82608695652175</v>
      </c>
      <c r="H61" s="11">
        <f t="shared" si="40"/>
        <v>-0.29928571428571427</v>
      </c>
      <c r="I61" s="43"/>
      <c r="K61" s="110"/>
    </row>
    <row r="62" spans="1:11" s="6" customFormat="1" ht="17.25" customHeight="1" x14ac:dyDescent="0.25">
      <c r="A62" s="49" t="s">
        <v>129</v>
      </c>
      <c r="B62" s="87">
        <f>B20/B27</f>
        <v>220.82608695652175</v>
      </c>
      <c r="C62" s="87">
        <f t="shared" ref="C62:G62" si="42">C20/C27</f>
        <v>230.7608695652174</v>
      </c>
      <c r="D62" s="87">
        <f t="shared" si="42"/>
        <v>262.93478260869563</v>
      </c>
      <c r="E62" s="87">
        <f t="shared" si="42"/>
        <v>842.32608695652175</v>
      </c>
      <c r="F62" s="87">
        <f t="shared" si="42"/>
        <v>664.39130434782612</v>
      </c>
      <c r="G62" s="87">
        <f t="shared" si="42"/>
        <v>475</v>
      </c>
      <c r="H62" s="32">
        <f t="shared" si="40"/>
        <v>1.1510139791297498</v>
      </c>
      <c r="I62" s="43"/>
      <c r="K62" s="110"/>
    </row>
    <row r="63" spans="1:11" s="6" customFormat="1" ht="17.25" customHeight="1" thickBot="1" x14ac:dyDescent="0.3">
      <c r="A63" s="49" t="s">
        <v>130</v>
      </c>
      <c r="B63" s="23">
        <f>B7/B27</f>
        <v>44622.086956521736</v>
      </c>
      <c r="C63" s="23">
        <f t="shared" ref="C63:G63" si="43">C7/C27</f>
        <v>50498.782608695656</v>
      </c>
      <c r="D63" s="23">
        <f t="shared" si="43"/>
        <v>39799.086956521736</v>
      </c>
      <c r="E63" s="23">
        <f t="shared" si="43"/>
        <v>78143.021739130432</v>
      </c>
      <c r="F63" s="23">
        <f t="shared" si="43"/>
        <v>78583.15217391304</v>
      </c>
      <c r="G63" s="23">
        <f t="shared" si="43"/>
        <v>45191.695652173912</v>
      </c>
      <c r="H63" s="32">
        <f t="shared" si="40"/>
        <v>1.2765173807473044E-2</v>
      </c>
      <c r="I63" s="43"/>
      <c r="K63" s="110"/>
    </row>
    <row r="64" spans="1:11" s="6" customFormat="1" ht="15" customHeight="1" thickBot="1" x14ac:dyDescent="0.3">
      <c r="A64" s="222" t="s">
        <v>131</v>
      </c>
      <c r="B64" s="222"/>
      <c r="C64" s="222"/>
      <c r="D64" s="222"/>
      <c r="E64" s="222"/>
      <c r="F64" s="222"/>
      <c r="G64" s="222"/>
      <c r="H64" s="222"/>
      <c r="I64" s="43"/>
      <c r="K64" s="110"/>
    </row>
    <row r="65" spans="1:11" s="6" customFormat="1" ht="17.25" customHeight="1" x14ac:dyDescent="0.25">
      <c r="A65" s="49" t="s">
        <v>132</v>
      </c>
      <c r="B65" s="23">
        <f>B7/B26</f>
        <v>37320.290909090909</v>
      </c>
      <c r="C65" s="23">
        <f t="shared" ref="C65:G65" si="44">C7/C26</f>
        <v>42235.345454545452</v>
      </c>
      <c r="D65" s="23">
        <f t="shared" si="44"/>
        <v>33286.509090909094</v>
      </c>
      <c r="E65" s="23">
        <f t="shared" si="44"/>
        <v>65355.981818181819</v>
      </c>
      <c r="F65" s="23">
        <f t="shared" si="44"/>
        <v>65724.090909090912</v>
      </c>
      <c r="G65" s="23">
        <f t="shared" si="44"/>
        <v>37796.69090909091</v>
      </c>
      <c r="H65" s="34">
        <f t="shared" ref="H65:H68" si="45">(G65-B65)/B65</f>
        <v>1.2765173807473039E-2</v>
      </c>
      <c r="I65" s="43"/>
      <c r="K65" s="110"/>
    </row>
    <row r="66" spans="1:11" s="6" customFormat="1" ht="17.25" customHeight="1" x14ac:dyDescent="0.25">
      <c r="A66" s="49" t="s">
        <v>133</v>
      </c>
      <c r="B66" s="23">
        <f>B5/B26</f>
        <v>27852.81818181818</v>
      </c>
      <c r="C66" s="23">
        <f t="shared" ref="C66:G66" si="46">C5/C26</f>
        <v>31875.581818181818</v>
      </c>
      <c r="D66" s="23">
        <f t="shared" si="46"/>
        <v>23765.345454545455</v>
      </c>
      <c r="E66" s="23">
        <f t="shared" si="46"/>
        <v>37191.581818181818</v>
      </c>
      <c r="F66" s="23">
        <f t="shared" si="46"/>
        <v>31075.654545454545</v>
      </c>
      <c r="G66" s="23">
        <f t="shared" si="46"/>
        <v>20191.254545454547</v>
      </c>
      <c r="H66" s="11">
        <f t="shared" si="45"/>
        <v>-0.27507319318103918</v>
      </c>
      <c r="I66" s="43"/>
      <c r="K66" s="110"/>
    </row>
    <row r="67" spans="1:11" s="6" customFormat="1" ht="17.25" customHeight="1" x14ac:dyDescent="0.25">
      <c r="A67" s="49" t="s">
        <v>134</v>
      </c>
      <c r="B67" s="87">
        <f>B6/B26</f>
        <v>9467.4727272727268</v>
      </c>
      <c r="C67" s="87">
        <f t="shared" ref="C67:G67" si="47">C6/C26</f>
        <v>10359.763636363636</v>
      </c>
      <c r="D67" s="87">
        <f t="shared" si="47"/>
        <v>9521.1636363636371</v>
      </c>
      <c r="E67" s="87">
        <f t="shared" si="47"/>
        <v>28164.400000000001</v>
      </c>
      <c r="F67" s="87">
        <f t="shared" si="47"/>
        <v>34648.436363636363</v>
      </c>
      <c r="G67" s="87">
        <f t="shared" si="47"/>
        <v>17605.436363636363</v>
      </c>
      <c r="H67" s="32">
        <f t="shared" si="45"/>
        <v>0.85957085600265792</v>
      </c>
      <c r="I67" s="43"/>
      <c r="K67" s="110"/>
    </row>
    <row r="68" spans="1:11" s="6" customFormat="1" ht="17.25" customHeight="1" thickBot="1" x14ac:dyDescent="0.3">
      <c r="A68" s="49" t="s">
        <v>135</v>
      </c>
      <c r="B68" s="23">
        <f>B39/B26</f>
        <v>1178.3090909090909</v>
      </c>
      <c r="C68" s="23">
        <f t="shared" ref="C68:G68" si="48">C39/C26</f>
        <v>1092.4181818181819</v>
      </c>
      <c r="D68" s="23">
        <f t="shared" si="48"/>
        <v>1096.4909090909091</v>
      </c>
      <c r="E68" s="23">
        <f t="shared" si="48"/>
        <v>1460.4545454545455</v>
      </c>
      <c r="F68" s="23">
        <f t="shared" si="48"/>
        <v>1159.4181818181819</v>
      </c>
      <c r="G68" s="23">
        <f t="shared" si="48"/>
        <v>833.85454545454547</v>
      </c>
      <c r="H68" s="11">
        <f t="shared" si="45"/>
        <v>-0.29232953230360914</v>
      </c>
      <c r="I68" s="43"/>
      <c r="K68" s="110"/>
    </row>
    <row r="69" spans="1:11" s="6" customFormat="1" ht="15" customHeight="1" thickBot="1" x14ac:dyDescent="0.3">
      <c r="A69" s="222" t="s">
        <v>136</v>
      </c>
      <c r="B69" s="222"/>
      <c r="C69" s="222"/>
      <c r="D69" s="222"/>
      <c r="E69" s="222"/>
      <c r="F69" s="222"/>
      <c r="G69" s="222"/>
      <c r="H69" s="222"/>
      <c r="I69" s="43"/>
      <c r="K69" s="110"/>
    </row>
    <row r="70" spans="1:11" s="6" customFormat="1" ht="17.25" customHeight="1" x14ac:dyDescent="0.25">
      <c r="A70" s="49" t="s">
        <v>137</v>
      </c>
      <c r="B70" s="23">
        <f>B25/B26</f>
        <v>2759.090909090909</v>
      </c>
      <c r="C70" s="23">
        <f t="shared" ref="C70:G70" si="49">C25/C26</f>
        <v>2759.090909090909</v>
      </c>
      <c r="D70" s="23">
        <f t="shared" si="49"/>
        <v>2759.090909090909</v>
      </c>
      <c r="E70" s="23">
        <f t="shared" si="49"/>
        <v>2759.090909090909</v>
      </c>
      <c r="F70" s="23">
        <f t="shared" si="49"/>
        <v>2759.090909090909</v>
      </c>
      <c r="G70" s="23">
        <f t="shared" si="49"/>
        <v>2759.090909090909</v>
      </c>
      <c r="H70" s="125">
        <f t="shared" ref="H70:H71" si="50">(G70-B70)/B70</f>
        <v>0</v>
      </c>
      <c r="I70" s="43"/>
      <c r="K70" s="110"/>
    </row>
    <row r="71" spans="1:11" s="6" customFormat="1" ht="17.25" customHeight="1" x14ac:dyDescent="0.25">
      <c r="A71" s="49" t="s">
        <v>138</v>
      </c>
      <c r="B71" s="23">
        <f>B25/B27</f>
        <v>3298.913043478261</v>
      </c>
      <c r="C71" s="23">
        <f t="shared" ref="C71:G71" si="51">C25/C27</f>
        <v>3298.913043478261</v>
      </c>
      <c r="D71" s="23">
        <f t="shared" si="51"/>
        <v>3298.913043478261</v>
      </c>
      <c r="E71" s="23">
        <f t="shared" si="51"/>
        <v>3298.913043478261</v>
      </c>
      <c r="F71" s="23">
        <f t="shared" si="51"/>
        <v>3298.913043478261</v>
      </c>
      <c r="G71" s="23">
        <f t="shared" si="51"/>
        <v>3298.913043478261</v>
      </c>
      <c r="H71" s="125">
        <f t="shared" si="50"/>
        <v>0</v>
      </c>
      <c r="I71" s="43"/>
      <c r="K71" s="110"/>
    </row>
    <row r="72" spans="1:11" s="6" customFormat="1" ht="15" customHeight="1" x14ac:dyDescent="0.25">
      <c r="A72" s="49" t="s">
        <v>139</v>
      </c>
      <c r="B72" s="127">
        <f>B26/B25</f>
        <v>3.6243822075782535E-4</v>
      </c>
      <c r="C72" s="127">
        <f t="shared" ref="C72:G72" si="52">C26/C25</f>
        <v>3.6243822075782535E-4</v>
      </c>
      <c r="D72" s="127">
        <f t="shared" si="52"/>
        <v>3.6243822075782535E-4</v>
      </c>
      <c r="E72" s="127">
        <f t="shared" si="52"/>
        <v>3.6243822075782535E-4</v>
      </c>
      <c r="F72" s="127">
        <f t="shared" si="52"/>
        <v>3.6243822075782535E-4</v>
      </c>
      <c r="G72" s="127">
        <f t="shared" si="52"/>
        <v>3.6243822075782535E-4</v>
      </c>
      <c r="H72" s="125">
        <f>(G72-B72)/B72</f>
        <v>0</v>
      </c>
      <c r="I72" s="43"/>
      <c r="K72" s="110"/>
    </row>
    <row r="73" spans="1:11" s="6" customFormat="1" ht="15" customHeight="1" thickBot="1" x14ac:dyDescent="0.3">
      <c r="A73" s="49" t="s">
        <v>140</v>
      </c>
      <c r="B73" s="127">
        <f>B27/B25</f>
        <v>3.0313014827018121E-4</v>
      </c>
      <c r="C73" s="127">
        <f t="shared" ref="C73:G73" si="53">C27/C25</f>
        <v>3.0313014827018121E-4</v>
      </c>
      <c r="D73" s="127">
        <f t="shared" si="53"/>
        <v>3.0313014827018121E-4</v>
      </c>
      <c r="E73" s="127">
        <f t="shared" si="53"/>
        <v>3.0313014827018121E-4</v>
      </c>
      <c r="F73" s="127">
        <f t="shared" si="53"/>
        <v>3.0313014827018121E-4</v>
      </c>
      <c r="G73" s="127">
        <f t="shared" si="53"/>
        <v>3.0313014827018121E-4</v>
      </c>
      <c r="H73" s="125">
        <f t="shared" ref="H73" si="54">(G73-B73)/B73</f>
        <v>0</v>
      </c>
      <c r="I73" s="43"/>
      <c r="K73" s="110"/>
    </row>
    <row r="74" spans="1:11" s="6" customFormat="1" ht="15" customHeight="1" thickBot="1" x14ac:dyDescent="0.3">
      <c r="A74" s="222" t="s">
        <v>144</v>
      </c>
      <c r="B74" s="222"/>
      <c r="C74" s="222"/>
      <c r="D74" s="222"/>
      <c r="E74" s="222"/>
      <c r="F74" s="222"/>
      <c r="G74" s="222"/>
      <c r="H74" s="222"/>
      <c r="I74" s="43"/>
      <c r="K74" s="110"/>
    </row>
    <row r="75" spans="1:11" s="6" customFormat="1" ht="17.25" customHeight="1" x14ac:dyDescent="0.25">
      <c r="A75" s="49" t="s">
        <v>141</v>
      </c>
      <c r="B75" s="87">
        <f>B23/B25</f>
        <v>99.014253706754531</v>
      </c>
      <c r="C75" s="87">
        <f t="shared" ref="C75:G75" si="55">C23/C25</f>
        <v>92.488461285008242</v>
      </c>
      <c r="D75" s="87">
        <f t="shared" si="55"/>
        <v>151.3608434925865</v>
      </c>
      <c r="E75" s="87">
        <f t="shared" si="55"/>
        <v>128.54500823723228</v>
      </c>
      <c r="F75" s="87">
        <f t="shared" si="55"/>
        <v>194.99936079077429</v>
      </c>
      <c r="G75" s="87">
        <f t="shared" si="55"/>
        <v>193.93270510708402</v>
      </c>
      <c r="H75" s="32">
        <f t="shared" ref="H75:H76" si="56">(G75-B75)/B75</f>
        <v>0.95863421524586379</v>
      </c>
      <c r="I75" s="43"/>
      <c r="K75" s="110"/>
    </row>
    <row r="76" spans="1:11" s="6" customFormat="1" ht="17.25" customHeight="1" x14ac:dyDescent="0.25">
      <c r="A76" s="49" t="s">
        <v>142</v>
      </c>
      <c r="B76" s="23">
        <f>B23/B26</f>
        <v>273189.32727272727</v>
      </c>
      <c r="C76" s="23">
        <f t="shared" ref="C76:G76" si="57">C23/C26</f>
        <v>255184.07272727272</v>
      </c>
      <c r="D76" s="23">
        <f t="shared" si="57"/>
        <v>417618.32727272727</v>
      </c>
      <c r="E76" s="23">
        <f t="shared" si="57"/>
        <v>354667.36363636365</v>
      </c>
      <c r="F76" s="23">
        <f t="shared" si="57"/>
        <v>538020.96363636362</v>
      </c>
      <c r="G76" s="23">
        <f t="shared" si="57"/>
        <v>535077.96363636362</v>
      </c>
      <c r="H76" s="32">
        <f t="shared" si="56"/>
        <v>0.95863421524586379</v>
      </c>
      <c r="I76" s="43"/>
      <c r="K76" s="110"/>
    </row>
    <row r="77" spans="1:11" s="6" customFormat="1" ht="15" customHeight="1" thickBot="1" x14ac:dyDescent="0.3">
      <c r="A77" s="49" t="s">
        <v>143</v>
      </c>
      <c r="B77" s="122">
        <f>B23/B27</f>
        <v>326639.41304347827</v>
      </c>
      <c r="C77" s="122">
        <f t="shared" ref="C77:G77" si="58">C23/C27</f>
        <v>305111.39130434784</v>
      </c>
      <c r="D77" s="122">
        <f t="shared" si="58"/>
        <v>499326.26086956525</v>
      </c>
      <c r="E77" s="122">
        <f t="shared" si="58"/>
        <v>424058.80434782611</v>
      </c>
      <c r="F77" s="122">
        <f t="shared" si="58"/>
        <v>643285.93478260865</v>
      </c>
      <c r="G77" s="122">
        <f t="shared" si="58"/>
        <v>639767.13043478259</v>
      </c>
      <c r="H77" s="32">
        <f>(G77-B77)/B77</f>
        <v>0.95863421524586367</v>
      </c>
      <c r="I77" s="43"/>
      <c r="K77" s="110"/>
    </row>
    <row r="78" spans="1:11" s="6" customFormat="1" ht="15" customHeight="1" thickBot="1" x14ac:dyDescent="0.3">
      <c r="A78" s="222" t="s">
        <v>145</v>
      </c>
      <c r="B78" s="222"/>
      <c r="C78" s="222"/>
      <c r="D78" s="222"/>
      <c r="E78" s="222"/>
      <c r="F78" s="222"/>
      <c r="G78" s="222"/>
      <c r="H78" s="222"/>
      <c r="I78" s="43"/>
      <c r="K78" s="110"/>
    </row>
    <row r="79" spans="1:11" s="6" customFormat="1" ht="17.25" customHeight="1" x14ac:dyDescent="0.25">
      <c r="A79" s="49" t="s">
        <v>146</v>
      </c>
      <c r="B79" s="87">
        <f>B7/B25</f>
        <v>13.526299835255355</v>
      </c>
      <c r="C79" s="87">
        <f t="shared" ref="C79:G79" si="59">C7/C25</f>
        <v>15.307703459637562</v>
      </c>
      <c r="D79" s="87">
        <f t="shared" si="59"/>
        <v>12.06430313014827</v>
      </c>
      <c r="E79" s="87">
        <f t="shared" si="59"/>
        <v>23.687505766062603</v>
      </c>
      <c r="F79" s="87">
        <f t="shared" si="59"/>
        <v>23.820922570016474</v>
      </c>
      <c r="G79" s="87">
        <f t="shared" si="59"/>
        <v>13.698965403624383</v>
      </c>
      <c r="H79" s="32">
        <f t="shared" ref="H79:H80" si="60">(G79-B79)/B79</f>
        <v>1.2765173807473043E-2</v>
      </c>
      <c r="I79" s="43"/>
      <c r="K79" s="110"/>
    </row>
    <row r="80" spans="1:11" s="6" customFormat="1" ht="17.25" customHeight="1" x14ac:dyDescent="0.25">
      <c r="A80" s="49" t="s">
        <v>147</v>
      </c>
      <c r="B80" s="87">
        <f>B21/B27</f>
        <v>626.6521739130435</v>
      </c>
      <c r="C80" s="87">
        <f t="shared" ref="C80:G80" si="61">C21/C27</f>
        <v>565.45652173913038</v>
      </c>
      <c r="D80" s="87">
        <f t="shared" si="61"/>
        <v>549.32608695652175</v>
      </c>
      <c r="E80" s="87">
        <f t="shared" si="61"/>
        <v>415.63043478260869</v>
      </c>
      <c r="F80" s="87">
        <f t="shared" si="61"/>
        <v>717</v>
      </c>
      <c r="G80" s="87">
        <f t="shared" si="61"/>
        <v>115.76086956521739</v>
      </c>
      <c r="H80" s="11">
        <f t="shared" si="60"/>
        <v>-0.81527093596059119</v>
      </c>
      <c r="I80" s="43"/>
      <c r="K80" s="110"/>
    </row>
    <row r="81" spans="1:11" s="6" customFormat="1" ht="15" customHeight="1" thickBot="1" x14ac:dyDescent="0.3">
      <c r="A81" s="49" t="s">
        <v>148</v>
      </c>
      <c r="B81" s="121">
        <f>B11/B27</f>
        <v>284.04347826086956</v>
      </c>
      <c r="C81" s="121">
        <f t="shared" ref="C81:G81" si="62">C11/C27</f>
        <v>233.41304347826087</v>
      </c>
      <c r="D81" s="121">
        <f t="shared" si="62"/>
        <v>323.13043478260869</v>
      </c>
      <c r="E81" s="121">
        <f t="shared" si="62"/>
        <v>588.02173913043475</v>
      </c>
      <c r="F81" s="121">
        <f t="shared" si="62"/>
        <v>372.43478260869563</v>
      </c>
      <c r="G81" s="121">
        <f t="shared" si="62"/>
        <v>190.71739130434781</v>
      </c>
      <c r="H81" s="11">
        <f>(G81-B81)/B81</f>
        <v>-0.32856268176947806</v>
      </c>
      <c r="I81" s="43"/>
      <c r="K81" s="110"/>
    </row>
    <row r="82" spans="1:11" s="6" customFormat="1" ht="15" customHeight="1" thickBot="1" x14ac:dyDescent="0.3">
      <c r="A82" s="222" t="s">
        <v>149</v>
      </c>
      <c r="B82" s="222"/>
      <c r="C82" s="222"/>
      <c r="D82" s="222"/>
      <c r="E82" s="222"/>
      <c r="F82" s="222"/>
      <c r="G82" s="222"/>
      <c r="H82" s="222"/>
      <c r="I82" s="43"/>
      <c r="K82" s="110"/>
    </row>
    <row r="83" spans="1:11" s="6" customFormat="1" ht="17.25" customHeight="1" thickBot="1" x14ac:dyDescent="0.3">
      <c r="A83" s="74" t="s">
        <v>150</v>
      </c>
      <c r="B83" s="128">
        <f>B26/B27</f>
        <v>1.1956521739130435</v>
      </c>
      <c r="C83" s="128">
        <f t="shared" ref="C83:G83" si="63">C26/C27</f>
        <v>1.1956521739130435</v>
      </c>
      <c r="D83" s="128">
        <f t="shared" si="63"/>
        <v>1.1956521739130435</v>
      </c>
      <c r="E83" s="128">
        <f t="shared" si="63"/>
        <v>1.1956521739130435</v>
      </c>
      <c r="F83" s="128">
        <f t="shared" si="63"/>
        <v>1.1956521739130435</v>
      </c>
      <c r="G83" s="128">
        <f t="shared" si="63"/>
        <v>1.1956521739130435</v>
      </c>
      <c r="H83" s="129">
        <f t="shared" ref="H83" si="64">(G83-B83)/B83</f>
        <v>0</v>
      </c>
      <c r="I83" s="43"/>
      <c r="K83" s="110"/>
    </row>
    <row r="84" spans="1:11" s="6" customFormat="1" ht="11.1" customHeight="1" x14ac:dyDescent="0.25">
      <c r="A84" s="53" t="s">
        <v>91</v>
      </c>
      <c r="B84" s="17"/>
      <c r="C84" s="17"/>
      <c r="D84" s="3"/>
      <c r="E84" s="15"/>
      <c r="F84" s="3"/>
      <c r="G84" s="16"/>
      <c r="H84" s="3"/>
      <c r="I84" s="17"/>
      <c r="K84" s="110"/>
    </row>
    <row r="85" spans="1:11" s="6" customFormat="1" ht="11.1" customHeight="1" x14ac:dyDescent="0.25">
      <c r="A85" s="53" t="s">
        <v>8</v>
      </c>
      <c r="B85" s="17"/>
      <c r="C85" s="17"/>
      <c r="D85" s="3"/>
      <c r="E85" s="15"/>
      <c r="F85" s="3"/>
      <c r="G85" s="18"/>
      <c r="H85" s="3"/>
      <c r="I85" s="17"/>
      <c r="K85" s="110"/>
    </row>
  </sheetData>
  <mergeCells count="16">
    <mergeCell ref="A74:H74"/>
    <mergeCell ref="A78:H78"/>
    <mergeCell ref="A82:H82"/>
    <mergeCell ref="A64:H64"/>
    <mergeCell ref="A54:H54"/>
    <mergeCell ref="A69:H69"/>
    <mergeCell ref="A46:H46"/>
    <mergeCell ref="A51:H51"/>
    <mergeCell ref="A28:H28"/>
    <mergeCell ref="A59:H59"/>
    <mergeCell ref="A24:H24"/>
    <mergeCell ref="A29:H29"/>
    <mergeCell ref="A33:H33"/>
    <mergeCell ref="A36:H36"/>
    <mergeCell ref="A38:H38"/>
    <mergeCell ref="A43:H43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4DE5-5F90-42CC-B29C-66AA49A4B410}">
  <dimension ref="A1:AC76"/>
  <sheetViews>
    <sheetView zoomScale="130" zoomScaleNormal="130" workbookViewId="0"/>
  </sheetViews>
  <sheetFormatPr defaultRowHeight="15" x14ac:dyDescent="0.25"/>
  <cols>
    <col min="1" max="1" width="55.28515625" style="47" customWidth="1"/>
    <col min="2" max="2" width="6.28515625" style="47" hidden="1" customWidth="1"/>
    <col min="3" max="4" width="6.5703125" style="47" hidden="1" customWidth="1"/>
    <col min="5" max="5" width="6.28515625" style="47" hidden="1" customWidth="1"/>
    <col min="6" max="6" width="6.5703125" style="47" hidden="1" customWidth="1"/>
    <col min="7" max="7" width="6.28515625" style="47" hidden="1" customWidth="1"/>
    <col min="8" max="10" width="6.5703125" style="47" hidden="1" customWidth="1"/>
    <col min="11" max="11" width="6.28515625" style="47" hidden="1" customWidth="1"/>
    <col min="12" max="12" width="6.5703125" style="47" hidden="1" customWidth="1"/>
    <col min="13" max="14" width="6.28515625" style="47" hidden="1" customWidth="1"/>
    <col min="15" max="15" width="6.5703125" style="8" hidden="1" customWidth="1"/>
    <col min="16" max="16" width="6.28515625" style="8" hidden="1" customWidth="1"/>
    <col min="17" max="17" width="6.5703125" style="8" hidden="1" customWidth="1"/>
    <col min="18" max="18" width="7.42578125" style="8" hidden="1" customWidth="1"/>
    <col min="19" max="19" width="6.85546875" style="8" hidden="1" customWidth="1"/>
    <col min="20" max="20" width="7.85546875" style="8" hidden="1" customWidth="1"/>
    <col min="21" max="21" width="7.5703125" style="8" hidden="1" customWidth="1"/>
    <col min="22" max="22" width="7.28515625" style="8" hidden="1" customWidth="1"/>
    <col min="23" max="23" width="9.42578125" bestFit="1" customWidth="1"/>
    <col min="24" max="24" width="7.7109375" bestFit="1" customWidth="1"/>
    <col min="25" max="25" width="8.140625" bestFit="1" customWidth="1"/>
    <col min="26" max="28" width="7.7109375" bestFit="1" customWidth="1"/>
    <col min="29" max="29" width="16.42578125" style="8" bestFit="1" customWidth="1"/>
  </cols>
  <sheetData>
    <row r="1" spans="1:29" s="6" customFormat="1" ht="18.75" x14ac:dyDescent="0.25">
      <c r="A1" s="162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9"/>
      <c r="P1" s="19"/>
      <c r="Q1" s="19"/>
      <c r="R1" s="19"/>
      <c r="S1" s="19"/>
      <c r="T1" s="19"/>
      <c r="U1" s="19"/>
      <c r="V1" s="19"/>
      <c r="W1" s="3"/>
      <c r="X1" s="4"/>
      <c r="Y1" s="3"/>
      <c r="Z1" s="3"/>
      <c r="AA1" s="3"/>
      <c r="AB1" s="3"/>
      <c r="AC1" s="5"/>
    </row>
    <row r="2" spans="1:29" ht="5.0999999999999996" customHeight="1" thickBot="1" x14ac:dyDescent="0.3">
      <c r="V2"/>
      <c r="AC2"/>
    </row>
    <row r="3" spans="1:29" s="10" customFormat="1" ht="15" customHeight="1" thickBot="1" x14ac:dyDescent="0.3">
      <c r="A3" s="48" t="s">
        <v>0</v>
      </c>
      <c r="B3" s="54">
        <v>1993</v>
      </c>
      <c r="C3" s="54">
        <v>1994</v>
      </c>
      <c r="D3" s="54">
        <v>1995</v>
      </c>
      <c r="E3" s="54">
        <v>1996</v>
      </c>
      <c r="F3" s="54">
        <v>1997</v>
      </c>
      <c r="G3" s="54">
        <v>1998</v>
      </c>
      <c r="H3" s="54">
        <v>1999</v>
      </c>
      <c r="I3" s="54">
        <v>2000</v>
      </c>
      <c r="J3" s="54">
        <v>2001</v>
      </c>
      <c r="K3" s="54">
        <v>2002</v>
      </c>
      <c r="L3" s="54">
        <v>2003</v>
      </c>
      <c r="M3" s="54">
        <v>2004</v>
      </c>
      <c r="N3" s="54">
        <v>2005</v>
      </c>
      <c r="O3" s="9">
        <v>2006</v>
      </c>
      <c r="P3" s="9">
        <v>2007</v>
      </c>
      <c r="Q3" s="9">
        <v>2008</v>
      </c>
      <c r="R3" s="9">
        <v>2009</v>
      </c>
      <c r="S3" s="9">
        <v>2010</v>
      </c>
      <c r="T3" s="9">
        <v>2011</v>
      </c>
      <c r="U3" s="9">
        <v>2012</v>
      </c>
      <c r="V3" s="9">
        <v>2013</v>
      </c>
      <c r="W3" s="9">
        <v>2019</v>
      </c>
      <c r="X3" s="9">
        <v>2020</v>
      </c>
      <c r="Y3" s="9">
        <v>2021</v>
      </c>
      <c r="Z3" s="9">
        <v>2022</v>
      </c>
      <c r="AA3" s="9">
        <v>2023</v>
      </c>
      <c r="AB3" s="9">
        <v>2024</v>
      </c>
      <c r="AC3" s="9" t="s">
        <v>28</v>
      </c>
    </row>
    <row r="4" spans="1:29" s="6" customFormat="1" ht="15" customHeight="1" thickBot="1" x14ac:dyDescent="0.3">
      <c r="A4" s="223" t="s">
        <v>116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6"/>
    </row>
    <row r="5" spans="1:29" s="6" customFormat="1" ht="15" customHeight="1" x14ac:dyDescent="0.25">
      <c r="A5" s="50" t="s">
        <v>171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0"/>
      <c r="P5" s="130"/>
      <c r="Q5" s="130"/>
      <c r="R5" s="130"/>
      <c r="S5" s="130"/>
      <c r="T5" s="130"/>
      <c r="U5" s="130"/>
      <c r="V5" s="130"/>
      <c r="W5" s="41">
        <v>2134</v>
      </c>
      <c r="X5" s="41">
        <v>2079</v>
      </c>
      <c r="Y5" s="41">
        <v>1890</v>
      </c>
      <c r="Z5" s="41">
        <v>1867</v>
      </c>
      <c r="AA5" s="41">
        <v>1990</v>
      </c>
      <c r="AB5" s="41">
        <v>2041</v>
      </c>
      <c r="AC5" s="155">
        <f>(AB5-W5)/W5</f>
        <v>-4.3580131208997189E-2</v>
      </c>
    </row>
    <row r="6" spans="1:29" s="6" customFormat="1" ht="15" customHeight="1" x14ac:dyDescent="0.25">
      <c r="A6" s="50" t="s">
        <v>172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0"/>
      <c r="P6" s="130"/>
      <c r="Q6" s="130"/>
      <c r="R6" s="130"/>
      <c r="S6" s="130"/>
      <c r="T6" s="130"/>
      <c r="U6" s="130"/>
      <c r="V6" s="130"/>
      <c r="W6" s="25">
        <v>608</v>
      </c>
      <c r="X6" s="25">
        <v>626</v>
      </c>
      <c r="Y6" s="25">
        <v>540</v>
      </c>
      <c r="Z6" s="25">
        <v>885</v>
      </c>
      <c r="AA6" s="25">
        <v>837</v>
      </c>
      <c r="AB6" s="25">
        <v>559</v>
      </c>
      <c r="AC6" s="156">
        <f t="shared" ref="AC6:AC14" si="0">(AB6-W6)/W6</f>
        <v>-8.0592105263157895E-2</v>
      </c>
    </row>
    <row r="7" spans="1:29" s="6" customFormat="1" ht="15" customHeight="1" x14ac:dyDescent="0.25">
      <c r="A7" s="149" t="s">
        <v>208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1"/>
      <c r="P7" s="151"/>
      <c r="Q7" s="151"/>
      <c r="R7" s="151"/>
      <c r="S7" s="151"/>
      <c r="T7" s="151"/>
      <c r="U7" s="151"/>
      <c r="V7" s="151"/>
      <c r="W7" s="152">
        <f>SUM(W5:W6)</f>
        <v>2742</v>
      </c>
      <c r="X7" s="152">
        <f t="shared" ref="X7:AB7" si="1">SUM(X5:X6)</f>
        <v>2705</v>
      </c>
      <c r="Y7" s="152">
        <f t="shared" si="1"/>
        <v>2430</v>
      </c>
      <c r="Z7" s="152">
        <f t="shared" si="1"/>
        <v>2752</v>
      </c>
      <c r="AA7" s="152">
        <f t="shared" si="1"/>
        <v>2827</v>
      </c>
      <c r="AB7" s="152">
        <f t="shared" si="1"/>
        <v>2600</v>
      </c>
      <c r="AC7" s="153">
        <f t="shared" si="0"/>
        <v>-5.1787016776075855E-2</v>
      </c>
    </row>
    <row r="8" spans="1:29" s="6" customFormat="1" ht="15" customHeight="1" x14ac:dyDescent="0.25">
      <c r="A8" s="71" t="s">
        <v>173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7"/>
      <c r="P8" s="147"/>
      <c r="Q8" s="147"/>
      <c r="R8" s="147"/>
      <c r="S8" s="147"/>
      <c r="T8" s="147"/>
      <c r="U8" s="147"/>
      <c r="V8" s="147"/>
      <c r="W8" s="25">
        <v>61780</v>
      </c>
      <c r="X8" s="25">
        <v>12941</v>
      </c>
      <c r="Y8" s="25">
        <v>25072</v>
      </c>
      <c r="Z8" s="25">
        <v>42142</v>
      </c>
      <c r="AA8" s="25">
        <v>53700</v>
      </c>
      <c r="AB8" s="25">
        <v>44610</v>
      </c>
      <c r="AC8" s="155">
        <f t="shared" si="0"/>
        <v>-0.27792165749433473</v>
      </c>
    </row>
    <row r="9" spans="1:29" s="6" customFormat="1" ht="15" customHeight="1" x14ac:dyDescent="0.25">
      <c r="A9" s="71" t="s">
        <v>174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30"/>
      <c r="P9" s="130"/>
      <c r="Q9" s="130"/>
      <c r="R9" s="130"/>
      <c r="S9" s="130"/>
      <c r="T9" s="130"/>
      <c r="U9" s="130"/>
      <c r="V9" s="130"/>
      <c r="W9" s="25">
        <v>3055</v>
      </c>
      <c r="X9" s="25">
        <v>1235</v>
      </c>
      <c r="Y9" s="25">
        <v>2396</v>
      </c>
      <c r="Z9" s="25">
        <v>5363</v>
      </c>
      <c r="AA9" s="25">
        <v>2576</v>
      </c>
      <c r="AB9" s="25">
        <v>1622</v>
      </c>
      <c r="AC9" s="156">
        <f t="shared" si="0"/>
        <v>-0.46906710310965632</v>
      </c>
    </row>
    <row r="10" spans="1:29" s="6" customFormat="1" ht="15" customHeight="1" x14ac:dyDescent="0.25">
      <c r="A10" s="149" t="s">
        <v>209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1"/>
      <c r="P10" s="151"/>
      <c r="Q10" s="151"/>
      <c r="R10" s="151"/>
      <c r="S10" s="151"/>
      <c r="T10" s="151"/>
      <c r="U10" s="151"/>
      <c r="V10" s="151"/>
      <c r="W10" s="152">
        <f>SUM(W8:W9)</f>
        <v>64835</v>
      </c>
      <c r="X10" s="152">
        <f t="shared" ref="X10:AB10" si="2">SUM(X8:X9)</f>
        <v>14176</v>
      </c>
      <c r="Y10" s="152">
        <f t="shared" si="2"/>
        <v>27468</v>
      </c>
      <c r="Z10" s="152">
        <f t="shared" si="2"/>
        <v>47505</v>
      </c>
      <c r="AA10" s="152">
        <f t="shared" si="2"/>
        <v>56276</v>
      </c>
      <c r="AB10" s="152">
        <f t="shared" si="2"/>
        <v>46232</v>
      </c>
      <c r="AC10" s="153">
        <f t="shared" si="0"/>
        <v>-0.28692835659751675</v>
      </c>
    </row>
    <row r="11" spans="1:29" s="6" customFormat="1" ht="15" customHeight="1" x14ac:dyDescent="0.25">
      <c r="A11" s="71" t="s">
        <v>175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7"/>
      <c r="P11" s="147"/>
      <c r="Q11" s="147"/>
      <c r="R11" s="147"/>
      <c r="S11" s="147"/>
      <c r="T11" s="147"/>
      <c r="U11" s="147"/>
      <c r="V11" s="147"/>
      <c r="W11" s="41">
        <v>5696800</v>
      </c>
      <c r="X11" s="41">
        <v>3727676</v>
      </c>
      <c r="Y11" s="41">
        <v>3784840</v>
      </c>
      <c r="Z11" s="41">
        <v>4558986</v>
      </c>
      <c r="AA11" s="41">
        <v>4415069</v>
      </c>
      <c r="AB11" s="41">
        <v>4522487</v>
      </c>
      <c r="AC11" s="155">
        <f t="shared" si="0"/>
        <v>-0.20613554978233395</v>
      </c>
    </row>
    <row r="12" spans="1:29" s="6" customFormat="1" ht="15" customHeight="1" x14ac:dyDescent="0.25">
      <c r="A12" s="50" t="s">
        <v>176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0"/>
      <c r="P12" s="130"/>
      <c r="Q12" s="130"/>
      <c r="R12" s="130"/>
      <c r="S12" s="130"/>
      <c r="T12" s="130"/>
      <c r="U12" s="130"/>
      <c r="V12" s="130"/>
      <c r="W12" s="25">
        <v>1531905</v>
      </c>
      <c r="X12" s="25">
        <v>1753157</v>
      </c>
      <c r="Y12" s="25">
        <v>1307094</v>
      </c>
      <c r="Z12" s="25">
        <v>2045537</v>
      </c>
      <c r="AA12" s="25">
        <v>1709161</v>
      </c>
      <c r="AB12" s="25">
        <v>1110519</v>
      </c>
      <c r="AC12" s="156">
        <f t="shared" si="0"/>
        <v>-0.27507319318103929</v>
      </c>
    </row>
    <row r="13" spans="1:29" s="10" customFormat="1" ht="15" customHeight="1" x14ac:dyDescent="0.25">
      <c r="A13" s="149" t="s">
        <v>210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1"/>
      <c r="P13" s="151"/>
      <c r="Q13" s="151"/>
      <c r="R13" s="151"/>
      <c r="S13" s="151"/>
      <c r="T13" s="151"/>
      <c r="U13" s="151"/>
      <c r="V13" s="151"/>
      <c r="W13" s="152">
        <f>SUM(W11:W12)</f>
        <v>7228705</v>
      </c>
      <c r="X13" s="152">
        <f t="shared" ref="X13:AB13" si="3">SUM(X11:X12)</f>
        <v>5480833</v>
      </c>
      <c r="Y13" s="152">
        <f t="shared" si="3"/>
        <v>5091934</v>
      </c>
      <c r="Z13" s="152">
        <f t="shared" si="3"/>
        <v>6604523</v>
      </c>
      <c r="AA13" s="152">
        <f t="shared" si="3"/>
        <v>6124230</v>
      </c>
      <c r="AB13" s="152">
        <f t="shared" si="3"/>
        <v>5633006</v>
      </c>
      <c r="AC13" s="153">
        <f t="shared" si="0"/>
        <v>-0.22074479453788748</v>
      </c>
    </row>
    <row r="14" spans="1:29" s="6" customFormat="1" ht="15" customHeight="1" x14ac:dyDescent="0.25">
      <c r="A14" s="71" t="s">
        <v>177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7"/>
      <c r="P14" s="147"/>
      <c r="Q14" s="147"/>
      <c r="R14" s="147"/>
      <c r="S14" s="147"/>
      <c r="T14" s="147"/>
      <c r="U14" s="147"/>
      <c r="V14" s="41">
        <v>827209</v>
      </c>
      <c r="W14" s="41">
        <v>827209</v>
      </c>
      <c r="X14" s="41">
        <v>803257</v>
      </c>
      <c r="Y14" s="41">
        <v>861573</v>
      </c>
      <c r="Z14" s="41">
        <v>960492</v>
      </c>
      <c r="AA14" s="41">
        <v>982178</v>
      </c>
      <c r="AB14" s="41">
        <v>890020</v>
      </c>
      <c r="AC14" s="157">
        <f t="shared" si="0"/>
        <v>7.5931233823616523E-2</v>
      </c>
    </row>
    <row r="15" spans="1:29" s="6" customFormat="1" ht="15" customHeight="1" x14ac:dyDescent="0.25">
      <c r="A15" s="50" t="s">
        <v>178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0"/>
      <c r="P15" s="130"/>
      <c r="Q15" s="130"/>
      <c r="R15" s="130"/>
      <c r="S15" s="130"/>
      <c r="T15" s="130"/>
      <c r="U15" s="130"/>
      <c r="V15" s="130"/>
      <c r="W15" s="25">
        <v>520711</v>
      </c>
      <c r="X15" s="25">
        <v>569787</v>
      </c>
      <c r="Y15" s="25">
        <v>523664</v>
      </c>
      <c r="Z15" s="25">
        <v>1549042</v>
      </c>
      <c r="AA15" s="25">
        <v>1905664</v>
      </c>
      <c r="AB15" s="25">
        <v>968299</v>
      </c>
      <c r="AC15" s="158">
        <f t="shared" ref="AC15:AC19" si="4">(AB15-W15)/W15</f>
        <v>0.85957085600265792</v>
      </c>
    </row>
    <row r="16" spans="1:29" s="6" customFormat="1" ht="15" customHeight="1" x14ac:dyDescent="0.25">
      <c r="A16" s="149" t="s">
        <v>211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1"/>
      <c r="P16" s="151"/>
      <c r="Q16" s="151"/>
      <c r="R16" s="151"/>
      <c r="S16" s="151"/>
      <c r="T16" s="151"/>
      <c r="U16" s="151"/>
      <c r="V16" s="151"/>
      <c r="W16" s="152">
        <f>SUM(W14:W15)</f>
        <v>1347920</v>
      </c>
      <c r="X16" s="152">
        <f>SUM(X14:X15)</f>
        <v>1373044</v>
      </c>
      <c r="Y16" s="152">
        <f>SUM(Y14:Y15)</f>
        <v>1385237</v>
      </c>
      <c r="Z16" s="152">
        <f>SUM(Z14:Z15)</f>
        <v>2509534</v>
      </c>
      <c r="AA16" s="152">
        <f>SUM(AA14:AA15)</f>
        <v>2887842</v>
      </c>
      <c r="AB16" s="152">
        <f t="shared" ref="AB16" si="5">SUM(AB14:AB15)</f>
        <v>1858319</v>
      </c>
      <c r="AC16" s="154">
        <f t="shared" si="4"/>
        <v>0.3786567452074307</v>
      </c>
    </row>
    <row r="17" spans="1:29" s="6" customFormat="1" ht="15" customHeight="1" x14ac:dyDescent="0.25">
      <c r="A17" s="71" t="s">
        <v>179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30"/>
      <c r="P17" s="130"/>
      <c r="Q17" s="130"/>
      <c r="R17" s="130"/>
      <c r="S17" s="130"/>
      <c r="T17" s="130"/>
      <c r="U17" s="130"/>
      <c r="V17" s="130"/>
      <c r="W17" s="25">
        <v>5220</v>
      </c>
      <c r="X17" s="25">
        <v>23317</v>
      </c>
      <c r="Y17" s="25">
        <v>2495</v>
      </c>
      <c r="Z17" s="25">
        <v>2296</v>
      </c>
      <c r="AA17" s="25">
        <v>1922</v>
      </c>
      <c r="AB17" s="25">
        <v>6342</v>
      </c>
      <c r="AC17" s="157">
        <f t="shared" si="4"/>
        <v>0.21494252873563219</v>
      </c>
    </row>
    <row r="18" spans="1:29" s="6" customFormat="1" ht="15" customHeight="1" x14ac:dyDescent="0.25">
      <c r="A18" s="50" t="s">
        <v>180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0"/>
      <c r="P18" s="130"/>
      <c r="Q18" s="130"/>
      <c r="R18" s="130"/>
      <c r="S18" s="130"/>
      <c r="T18" s="130"/>
      <c r="U18" s="130"/>
      <c r="V18" s="130"/>
      <c r="W18" s="25">
        <v>58680</v>
      </c>
      <c r="X18" s="25">
        <v>152517</v>
      </c>
      <c r="Y18" s="25">
        <v>52786</v>
      </c>
      <c r="Z18" s="25">
        <v>130285</v>
      </c>
      <c r="AA18" s="25">
        <v>70497</v>
      </c>
      <c r="AB18" s="25">
        <v>29857</v>
      </c>
      <c r="AC18" s="156">
        <f t="shared" si="4"/>
        <v>-0.49118950238582143</v>
      </c>
    </row>
    <row r="19" spans="1:29" s="6" customFormat="1" ht="15" customHeight="1" x14ac:dyDescent="0.25">
      <c r="A19" s="149" t="s">
        <v>212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1"/>
      <c r="P19" s="151"/>
      <c r="Q19" s="151"/>
      <c r="R19" s="151"/>
      <c r="S19" s="151"/>
      <c r="T19" s="151"/>
      <c r="U19" s="151"/>
      <c r="V19" s="151"/>
      <c r="W19" s="152">
        <f>SUM(W17:W18)</f>
        <v>63900</v>
      </c>
      <c r="X19" s="152">
        <f t="shared" ref="X19:AB19" si="6">SUM(X17:X18)</f>
        <v>175834</v>
      </c>
      <c r="Y19" s="152">
        <f t="shared" si="6"/>
        <v>55281</v>
      </c>
      <c r="Z19" s="152">
        <f t="shared" si="6"/>
        <v>132581</v>
      </c>
      <c r="AA19" s="152">
        <f t="shared" si="6"/>
        <v>72419</v>
      </c>
      <c r="AB19" s="152">
        <f t="shared" si="6"/>
        <v>36199</v>
      </c>
      <c r="AC19" s="148">
        <f t="shared" si="4"/>
        <v>-0.4335054773082942</v>
      </c>
    </row>
    <row r="20" spans="1:29" s="6" customFormat="1" ht="15" customHeight="1" x14ac:dyDescent="0.25">
      <c r="A20" s="177" t="s">
        <v>181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30"/>
      <c r="P20" s="130"/>
      <c r="Q20" s="130"/>
      <c r="R20" s="130"/>
      <c r="S20" s="130"/>
      <c r="T20" s="130"/>
      <c r="U20" s="130"/>
      <c r="V20" s="130"/>
      <c r="W20" s="25">
        <v>12000</v>
      </c>
      <c r="X20" s="25">
        <v>12000</v>
      </c>
      <c r="Y20" s="25">
        <v>12000</v>
      </c>
      <c r="Z20" s="25">
        <v>12000</v>
      </c>
      <c r="AA20" s="25">
        <v>12000</v>
      </c>
      <c r="AB20" s="25">
        <v>12000</v>
      </c>
      <c r="AC20" s="159">
        <f t="shared" ref="AC20:AC22" si="7">(AB20-W20)/W20</f>
        <v>0</v>
      </c>
    </row>
    <row r="21" spans="1:29" s="6" customFormat="1" ht="15" customHeight="1" x14ac:dyDescent="0.25">
      <c r="A21" s="178" t="s">
        <v>182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0"/>
      <c r="P21" s="130"/>
      <c r="Q21" s="130"/>
      <c r="R21" s="130"/>
      <c r="S21" s="130"/>
      <c r="T21" s="130"/>
      <c r="U21" s="130"/>
      <c r="V21" s="130"/>
      <c r="W21" s="25">
        <v>151750</v>
      </c>
      <c r="X21" s="25">
        <v>151750</v>
      </c>
      <c r="Y21" s="25">
        <v>151750</v>
      </c>
      <c r="Z21" s="25">
        <v>151750</v>
      </c>
      <c r="AA21" s="25">
        <v>151750</v>
      </c>
      <c r="AB21" s="25">
        <v>151750</v>
      </c>
      <c r="AC21" s="160">
        <f t="shared" si="7"/>
        <v>0</v>
      </c>
    </row>
    <row r="22" spans="1:29" s="6" customFormat="1" ht="15" customHeight="1" x14ac:dyDescent="0.25">
      <c r="A22" s="149" t="s">
        <v>213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1"/>
      <c r="P22" s="151"/>
      <c r="Q22" s="151"/>
      <c r="R22" s="151"/>
      <c r="S22" s="151"/>
      <c r="T22" s="151"/>
      <c r="U22" s="151"/>
      <c r="V22" s="151"/>
      <c r="W22" s="152">
        <f>SUM(W20:W21)</f>
        <v>163750</v>
      </c>
      <c r="X22" s="152">
        <f t="shared" ref="X22" si="8">SUM(X20:X21)</f>
        <v>163750</v>
      </c>
      <c r="Y22" s="152">
        <f t="shared" ref="Y22" si="9">SUM(Y20:Y21)</f>
        <v>163750</v>
      </c>
      <c r="Z22" s="152">
        <f t="shared" ref="Z22" si="10">SUM(Z20:Z21)</f>
        <v>163750</v>
      </c>
      <c r="AA22" s="152">
        <f t="shared" ref="AA22" si="11">SUM(AA20:AA21)</f>
        <v>163750</v>
      </c>
      <c r="AB22" s="152">
        <f t="shared" ref="AB22" si="12">SUM(AB20:AB21)</f>
        <v>163750</v>
      </c>
      <c r="AC22" s="161">
        <f t="shared" si="7"/>
        <v>0</v>
      </c>
    </row>
    <row r="23" spans="1:29" s="6" customFormat="1" ht="15" customHeight="1" x14ac:dyDescent="0.25">
      <c r="A23" s="177" t="s">
        <v>183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0"/>
      <c r="P23" s="130"/>
      <c r="Q23" s="130"/>
      <c r="R23" s="130"/>
      <c r="S23" s="130"/>
      <c r="T23" s="130"/>
      <c r="U23" s="130"/>
      <c r="V23" s="130"/>
      <c r="W23" s="25">
        <v>142</v>
      </c>
      <c r="X23" s="25">
        <v>142</v>
      </c>
      <c r="Y23" s="25">
        <v>142</v>
      </c>
      <c r="Z23" s="25">
        <v>142</v>
      </c>
      <c r="AA23" s="25">
        <v>142</v>
      </c>
      <c r="AB23" s="25">
        <v>142</v>
      </c>
      <c r="AC23" s="159">
        <f t="shared" ref="AC23:AC25" si="13">(AB23-W23)/W23</f>
        <v>0</v>
      </c>
    </row>
    <row r="24" spans="1:29" s="6" customFormat="1" ht="15" customHeight="1" x14ac:dyDescent="0.25">
      <c r="A24" s="178" t="s">
        <v>184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30"/>
      <c r="P24" s="130"/>
      <c r="Q24" s="130"/>
      <c r="R24" s="130"/>
      <c r="S24" s="130"/>
      <c r="T24" s="130"/>
      <c r="U24" s="130"/>
      <c r="V24" s="130"/>
      <c r="W24" s="25">
        <v>55</v>
      </c>
      <c r="X24" s="25">
        <v>55</v>
      </c>
      <c r="Y24" s="25">
        <v>55</v>
      </c>
      <c r="Z24" s="25">
        <v>55</v>
      </c>
      <c r="AA24" s="25">
        <v>55</v>
      </c>
      <c r="AB24" s="25">
        <v>55</v>
      </c>
      <c r="AC24" s="160">
        <f t="shared" si="13"/>
        <v>0</v>
      </c>
    </row>
    <row r="25" spans="1:29" s="6" customFormat="1" ht="15" customHeight="1" thickBot="1" x14ac:dyDescent="0.3">
      <c r="A25" s="149" t="s">
        <v>214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1"/>
      <c r="P25" s="151"/>
      <c r="Q25" s="151"/>
      <c r="R25" s="151"/>
      <c r="S25" s="151"/>
      <c r="T25" s="151"/>
      <c r="U25" s="151"/>
      <c r="V25" s="151"/>
      <c r="W25" s="152">
        <f>SUM(W23:W24)</f>
        <v>197</v>
      </c>
      <c r="X25" s="152">
        <f t="shared" ref="X25" si="14">SUM(X23:X24)</f>
        <v>197</v>
      </c>
      <c r="Y25" s="152">
        <f t="shared" ref="Y25" si="15">SUM(Y23:Y24)</f>
        <v>197</v>
      </c>
      <c r="Z25" s="152">
        <f t="shared" ref="Z25" si="16">SUM(Z23:Z24)</f>
        <v>197</v>
      </c>
      <c r="AA25" s="152">
        <f t="shared" ref="AA25" si="17">SUM(AA23:AA24)</f>
        <v>197</v>
      </c>
      <c r="AB25" s="152">
        <f t="shared" ref="AB25" si="18">SUM(AB23:AB24)</f>
        <v>197</v>
      </c>
      <c r="AC25" s="161">
        <f t="shared" si="13"/>
        <v>0</v>
      </c>
    </row>
    <row r="26" spans="1:29" s="6" customFormat="1" ht="15" customHeight="1" thickBot="1" x14ac:dyDescent="0.3">
      <c r="A26" s="225" t="s">
        <v>185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  <c r="AA26" s="225"/>
      <c r="AB26" s="225"/>
      <c r="AC26" s="225"/>
    </row>
    <row r="27" spans="1:29" s="6" customFormat="1" ht="15" customHeight="1" thickBot="1" x14ac:dyDescent="0.3">
      <c r="A27" s="222" t="s">
        <v>187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</row>
    <row r="28" spans="1:29" s="6" customFormat="1" ht="15" customHeight="1" x14ac:dyDescent="0.25">
      <c r="A28" s="59" t="s">
        <v>188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45"/>
      <c r="P28" s="145"/>
      <c r="Q28" s="145"/>
      <c r="R28" s="145"/>
      <c r="S28" s="145"/>
      <c r="T28" s="145"/>
      <c r="U28" s="145"/>
      <c r="V28" s="145"/>
      <c r="W28" s="168">
        <f>W5/W7</f>
        <v>0.77826404084609779</v>
      </c>
      <c r="X28" s="168">
        <f t="shared" ref="X28:AB28" si="19">X5/X7</f>
        <v>0.76857670979667281</v>
      </c>
      <c r="Y28" s="168">
        <f t="shared" si="19"/>
        <v>0.77777777777777779</v>
      </c>
      <c r="Z28" s="168">
        <f t="shared" si="19"/>
        <v>0.67841569767441856</v>
      </c>
      <c r="AA28" s="168">
        <f t="shared" si="19"/>
        <v>0.70392642377078174</v>
      </c>
      <c r="AB28" s="168">
        <f t="shared" si="19"/>
        <v>0.78500000000000003</v>
      </c>
      <c r="AC28" s="172">
        <f>(AB28-W28)/W28</f>
        <v>8.6551077788190878E-3</v>
      </c>
    </row>
    <row r="29" spans="1:29" s="6" customFormat="1" ht="15" customHeight="1" thickBot="1" x14ac:dyDescent="0.3">
      <c r="A29" s="52" t="s">
        <v>189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69"/>
      <c r="P29" s="169"/>
      <c r="Q29" s="169"/>
      <c r="R29" s="169"/>
      <c r="S29" s="169"/>
      <c r="T29" s="169"/>
      <c r="U29" s="169"/>
      <c r="V29" s="169"/>
      <c r="W29" s="123">
        <f>W6/W7</f>
        <v>0.22173595915390226</v>
      </c>
      <c r="X29" s="123">
        <f t="shared" ref="X29:AB29" si="20">X6/X7</f>
        <v>0.23142329020332716</v>
      </c>
      <c r="Y29" s="123">
        <f t="shared" si="20"/>
        <v>0.22222222222222221</v>
      </c>
      <c r="Z29" s="123">
        <f t="shared" si="20"/>
        <v>0.32158430232558138</v>
      </c>
      <c r="AA29" s="123">
        <f t="shared" si="20"/>
        <v>0.29607357622921826</v>
      </c>
      <c r="AB29" s="123">
        <f t="shared" si="20"/>
        <v>0.215</v>
      </c>
      <c r="AC29" s="143">
        <f t="shared" ref="AC29" si="21">(AB29-W29)/W29</f>
        <v>-3.037828947368423E-2</v>
      </c>
    </row>
    <row r="30" spans="1:29" s="6" customFormat="1" ht="15" customHeight="1" thickBot="1" x14ac:dyDescent="0.3">
      <c r="A30" s="224" t="s">
        <v>190</v>
      </c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</row>
    <row r="31" spans="1:29" s="6" customFormat="1" ht="15" customHeight="1" x14ac:dyDescent="0.25">
      <c r="A31" s="59" t="s">
        <v>191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145"/>
      <c r="P31" s="145"/>
      <c r="Q31" s="145"/>
      <c r="R31" s="145">
        <v>591590</v>
      </c>
      <c r="S31" s="145">
        <v>599443</v>
      </c>
      <c r="T31" s="167">
        <v>585220</v>
      </c>
      <c r="U31" s="167">
        <v>634969</v>
      </c>
      <c r="V31" s="167">
        <v>758058</v>
      </c>
      <c r="W31" s="168">
        <f>W8/W10</f>
        <v>0.9528803886789543</v>
      </c>
      <c r="X31" s="168">
        <f t="shared" ref="X31:AB31" si="22">X8/X10</f>
        <v>0.91288092550790068</v>
      </c>
      <c r="Y31" s="168">
        <f t="shared" si="22"/>
        <v>0.91277122469783023</v>
      </c>
      <c r="Z31" s="168">
        <f t="shared" si="22"/>
        <v>0.88710662035575205</v>
      </c>
      <c r="AA31" s="168">
        <f t="shared" si="22"/>
        <v>0.9542256023882294</v>
      </c>
      <c r="AB31" s="168">
        <f t="shared" si="22"/>
        <v>0.96491607544557878</v>
      </c>
      <c r="AC31" s="172">
        <f>(AB31-W31)/W31</f>
        <v>1.2630847386113595E-2</v>
      </c>
    </row>
    <row r="32" spans="1:29" s="6" customFormat="1" ht="15" customHeight="1" thickBot="1" x14ac:dyDescent="0.3">
      <c r="A32" s="52" t="s">
        <v>192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169"/>
      <c r="P32" s="169"/>
      <c r="Q32" s="169"/>
      <c r="R32" s="169">
        <v>403411</v>
      </c>
      <c r="S32" s="169">
        <v>349668</v>
      </c>
      <c r="T32" s="170" t="e">
        <f>#REF!-T31</f>
        <v>#REF!</v>
      </c>
      <c r="U32" s="170" t="e">
        <f>#REF!-U31</f>
        <v>#REF!</v>
      </c>
      <c r="V32" s="170" t="e">
        <f>#REF!-V31</f>
        <v>#REF!</v>
      </c>
      <c r="W32" s="123">
        <f>W9/W10</f>
        <v>4.711961132104573E-2</v>
      </c>
      <c r="X32" s="123">
        <f t="shared" ref="X32:AB32" si="23">X9/X10</f>
        <v>8.7119074492099324E-2</v>
      </c>
      <c r="Y32" s="123">
        <f t="shared" si="23"/>
        <v>8.7228775302169798E-2</v>
      </c>
      <c r="Z32" s="123">
        <f t="shared" si="23"/>
        <v>0.11289337964424798</v>
      </c>
      <c r="AA32" s="123">
        <f t="shared" si="23"/>
        <v>4.5774397611770559E-2</v>
      </c>
      <c r="AB32" s="123">
        <f t="shared" si="23"/>
        <v>3.5083924554421178E-2</v>
      </c>
      <c r="AC32" s="143">
        <f>(AB32-W32)/W32</f>
        <v>-0.25542839656762778</v>
      </c>
    </row>
    <row r="33" spans="1:29" s="6" customFormat="1" ht="15" customHeight="1" thickBot="1" x14ac:dyDescent="0.3">
      <c r="A33" s="222" t="s">
        <v>193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</row>
    <row r="34" spans="1:29" s="6" customFormat="1" ht="15" customHeight="1" x14ac:dyDescent="0.25">
      <c r="A34" s="163" t="s">
        <v>194</v>
      </c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74">
        <f>W11/W13</f>
        <v>0.7880802993067223</v>
      </c>
      <c r="X34" s="174">
        <f t="shared" ref="X34:AB34" si="24">X11/X13</f>
        <v>0.6801294620726448</v>
      </c>
      <c r="Y34" s="174">
        <f t="shared" si="24"/>
        <v>0.74330107185207039</v>
      </c>
      <c r="Z34" s="174">
        <f t="shared" si="24"/>
        <v>0.69028240192365142</v>
      </c>
      <c r="AA34" s="174">
        <f t="shared" si="24"/>
        <v>0.72091822155601604</v>
      </c>
      <c r="AB34" s="174">
        <f t="shared" si="24"/>
        <v>0.80285499429611829</v>
      </c>
      <c r="AC34" s="172">
        <f>(AB34-W34)/W34</f>
        <v>1.8747702489699782E-2</v>
      </c>
    </row>
    <row r="35" spans="1:29" s="6" customFormat="1" ht="15" customHeight="1" thickBot="1" x14ac:dyDescent="0.3">
      <c r="A35" s="165" t="s">
        <v>195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75">
        <f>W12/W13</f>
        <v>0.2119197006932777</v>
      </c>
      <c r="X35" s="175">
        <f t="shared" ref="X35:AB35" si="25">X12/X13</f>
        <v>0.3198705379273552</v>
      </c>
      <c r="Y35" s="175">
        <f t="shared" si="25"/>
        <v>0.25669892814792966</v>
      </c>
      <c r="Z35" s="175">
        <f t="shared" si="25"/>
        <v>0.30971759807634858</v>
      </c>
      <c r="AA35" s="175">
        <f t="shared" si="25"/>
        <v>0.27908177844398396</v>
      </c>
      <c r="AB35" s="175">
        <f t="shared" si="25"/>
        <v>0.19714500570388171</v>
      </c>
      <c r="AC35" s="143">
        <f>(AB35-W35)/W35</f>
        <v>-6.9718364744107308E-2</v>
      </c>
    </row>
    <row r="36" spans="1:29" s="6" customFormat="1" ht="15" customHeight="1" thickBot="1" x14ac:dyDescent="0.3">
      <c r="A36" s="222" t="s">
        <v>196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</row>
    <row r="37" spans="1:29" s="6" customFormat="1" ht="15" customHeight="1" x14ac:dyDescent="0.25">
      <c r="A37" s="163" t="s">
        <v>197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74">
        <f>W14/W16</f>
        <v>0.61369294913644723</v>
      </c>
      <c r="X37" s="174">
        <f t="shared" ref="X37:AB37" si="26">X14/X16</f>
        <v>0.58501912538855272</v>
      </c>
      <c r="Y37" s="174">
        <f t="shared" si="26"/>
        <v>0.62196793761645119</v>
      </c>
      <c r="Z37" s="174">
        <f t="shared" si="26"/>
        <v>0.38273719343910062</v>
      </c>
      <c r="AA37" s="174">
        <f t="shared" si="26"/>
        <v>0.34010794219351337</v>
      </c>
      <c r="AB37" s="174">
        <f t="shared" si="26"/>
        <v>0.47893822320064533</v>
      </c>
      <c r="AC37" s="142">
        <f>(AB37-W37)/W37</f>
        <v>-0.21958004589334268</v>
      </c>
    </row>
    <row r="38" spans="1:29" s="6" customFormat="1" ht="15" customHeight="1" thickBot="1" x14ac:dyDescent="0.3">
      <c r="A38" s="165" t="s">
        <v>198</v>
      </c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75">
        <f>W15/W16</f>
        <v>0.38630705086355271</v>
      </c>
      <c r="X38" s="175">
        <f t="shared" ref="X38:AB38" si="27">X15/X16</f>
        <v>0.41498087461144728</v>
      </c>
      <c r="Y38" s="175">
        <f t="shared" si="27"/>
        <v>0.37803206238354881</v>
      </c>
      <c r="Z38" s="175">
        <f t="shared" si="27"/>
        <v>0.61726280656089938</v>
      </c>
      <c r="AA38" s="175">
        <f t="shared" si="27"/>
        <v>0.65989205780648663</v>
      </c>
      <c r="AB38" s="175">
        <f t="shared" si="27"/>
        <v>0.52106177679935473</v>
      </c>
      <c r="AC38" s="176">
        <f>(AB38-W38)/W38</f>
        <v>0.34882802587882</v>
      </c>
    </row>
    <row r="39" spans="1:29" s="6" customFormat="1" ht="15" customHeight="1" thickBot="1" x14ac:dyDescent="0.3">
      <c r="A39" s="222" t="s">
        <v>199</v>
      </c>
      <c r="B39" s="222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</row>
    <row r="40" spans="1:29" s="6" customFormat="1" ht="15" customHeight="1" x14ac:dyDescent="0.25">
      <c r="A40" s="163" t="s">
        <v>200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74">
        <f>W17/W19</f>
        <v>8.1690140845070425E-2</v>
      </c>
      <c r="X40" s="174">
        <f t="shared" ref="X40:AB40" si="28">X17/X19</f>
        <v>0.13260802802643401</v>
      </c>
      <c r="Y40" s="174">
        <f t="shared" si="28"/>
        <v>4.5133047520848034E-2</v>
      </c>
      <c r="Z40" s="174">
        <f t="shared" si="28"/>
        <v>1.7317715208061486E-2</v>
      </c>
      <c r="AA40" s="174">
        <f t="shared" si="28"/>
        <v>2.6539996409781965E-2</v>
      </c>
      <c r="AB40" s="174">
        <f t="shared" si="28"/>
        <v>0.17519820989530097</v>
      </c>
      <c r="AC40" s="172">
        <f>(AB40-W40)/W40</f>
        <v>1.1446677418217877</v>
      </c>
    </row>
    <row r="41" spans="1:29" s="6" customFormat="1" ht="15" customHeight="1" thickBot="1" x14ac:dyDescent="0.3">
      <c r="A41" s="165" t="s">
        <v>202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75">
        <f>W18/W19</f>
        <v>0.91830985915492958</v>
      </c>
      <c r="X41" s="175">
        <f t="shared" ref="X41:AB41" si="29">X18/X19</f>
        <v>0.86739197197356599</v>
      </c>
      <c r="Y41" s="175">
        <f t="shared" si="29"/>
        <v>0.95486695247915199</v>
      </c>
      <c r="Z41" s="175">
        <f t="shared" si="29"/>
        <v>0.98268228479193853</v>
      </c>
      <c r="AA41" s="175">
        <f t="shared" si="29"/>
        <v>0.973460003590218</v>
      </c>
      <c r="AB41" s="175">
        <f t="shared" si="29"/>
        <v>0.82480179010469901</v>
      </c>
      <c r="AC41" s="143">
        <f>(AB41-W41)/W41</f>
        <v>-0.10182627151175415</v>
      </c>
    </row>
    <row r="42" spans="1:29" s="6" customFormat="1" ht="15" customHeight="1" thickBot="1" x14ac:dyDescent="0.3">
      <c r="A42" s="222" t="s">
        <v>204</v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</row>
    <row r="43" spans="1:29" s="6" customFormat="1" ht="15" customHeight="1" x14ac:dyDescent="0.25">
      <c r="A43" s="163" t="s">
        <v>201</v>
      </c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74">
        <f>W20/W22</f>
        <v>7.3282442748091606E-2</v>
      </c>
      <c r="X43" s="174">
        <f t="shared" ref="X43:AB43" si="30">X20/X22</f>
        <v>7.3282442748091606E-2</v>
      </c>
      <c r="Y43" s="174">
        <f t="shared" si="30"/>
        <v>7.3282442748091606E-2</v>
      </c>
      <c r="Z43" s="174">
        <f t="shared" si="30"/>
        <v>7.3282442748091606E-2</v>
      </c>
      <c r="AA43" s="174">
        <f t="shared" si="30"/>
        <v>7.3282442748091606E-2</v>
      </c>
      <c r="AB43" s="174">
        <f t="shared" si="30"/>
        <v>7.3282442748091606E-2</v>
      </c>
      <c r="AC43" s="179">
        <f>(AB43-W43)/W43</f>
        <v>0</v>
      </c>
    </row>
    <row r="44" spans="1:29" s="6" customFormat="1" ht="15" customHeight="1" thickBot="1" x14ac:dyDescent="0.3">
      <c r="A44" s="165" t="s">
        <v>203</v>
      </c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75">
        <f>W21/W22</f>
        <v>0.92671755725190841</v>
      </c>
      <c r="X44" s="175">
        <f t="shared" ref="X44:AB44" si="31">X21/X22</f>
        <v>0.92671755725190841</v>
      </c>
      <c r="Y44" s="175">
        <f t="shared" si="31"/>
        <v>0.92671755725190841</v>
      </c>
      <c r="Z44" s="175">
        <f t="shared" si="31"/>
        <v>0.92671755725190841</v>
      </c>
      <c r="AA44" s="175">
        <f t="shared" si="31"/>
        <v>0.92671755725190841</v>
      </c>
      <c r="AB44" s="175">
        <f t="shared" si="31"/>
        <v>0.92671755725190841</v>
      </c>
      <c r="AC44" s="180">
        <f>(AB44-W44)/W44</f>
        <v>0</v>
      </c>
    </row>
    <row r="45" spans="1:29" s="6" customFormat="1" ht="15" customHeight="1" thickBot="1" x14ac:dyDescent="0.3">
      <c r="A45" s="222" t="s">
        <v>205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</row>
    <row r="46" spans="1:29" s="6" customFormat="1" ht="15" customHeight="1" x14ac:dyDescent="0.25">
      <c r="A46" s="163" t="s">
        <v>206</v>
      </c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74">
        <f>W23/W25</f>
        <v>0.7208121827411168</v>
      </c>
      <c r="X46" s="174">
        <f t="shared" ref="X46:AB46" si="32">X23/X25</f>
        <v>0.7208121827411168</v>
      </c>
      <c r="Y46" s="174">
        <f t="shared" si="32"/>
        <v>0.7208121827411168</v>
      </c>
      <c r="Z46" s="174">
        <f t="shared" si="32"/>
        <v>0.7208121827411168</v>
      </c>
      <c r="AA46" s="174">
        <f t="shared" si="32"/>
        <v>0.7208121827411168</v>
      </c>
      <c r="AB46" s="174">
        <f t="shared" si="32"/>
        <v>0.7208121827411168</v>
      </c>
      <c r="AC46" s="179">
        <f>(AB46-W46)/W46</f>
        <v>0</v>
      </c>
    </row>
    <row r="47" spans="1:29" s="6" customFormat="1" ht="15" customHeight="1" thickBot="1" x14ac:dyDescent="0.3">
      <c r="A47" s="165" t="s">
        <v>207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75">
        <f>W24/W25</f>
        <v>0.27918781725888325</v>
      </c>
      <c r="X47" s="175">
        <f t="shared" ref="X47:AB47" si="33">X24/X25</f>
        <v>0.27918781725888325</v>
      </c>
      <c r="Y47" s="175">
        <f t="shared" si="33"/>
        <v>0.27918781725888325</v>
      </c>
      <c r="Z47" s="175">
        <f t="shared" si="33"/>
        <v>0.27918781725888325</v>
      </c>
      <c r="AA47" s="175">
        <f t="shared" si="33"/>
        <v>0.27918781725888325</v>
      </c>
      <c r="AB47" s="175">
        <f t="shared" si="33"/>
        <v>0.27918781725888325</v>
      </c>
      <c r="AC47" s="180">
        <f>(AB47-W47)/W47</f>
        <v>0</v>
      </c>
    </row>
    <row r="48" spans="1:29" s="6" customFormat="1" ht="15" customHeight="1" thickBot="1" x14ac:dyDescent="0.3">
      <c r="A48" s="222" t="s">
        <v>215</v>
      </c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</row>
    <row r="49" spans="1:29" s="6" customFormat="1" ht="15" customHeight="1" x14ac:dyDescent="0.25">
      <c r="A49" s="59" t="s">
        <v>216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181">
        <f>W13+W16+W19</f>
        <v>8640525</v>
      </c>
      <c r="X49" s="181">
        <f t="shared" ref="X49:AB49" si="34">X13+X16+X19</f>
        <v>7029711</v>
      </c>
      <c r="Y49" s="181">
        <f t="shared" si="34"/>
        <v>6532452</v>
      </c>
      <c r="Z49" s="181">
        <f t="shared" si="34"/>
        <v>9246638</v>
      </c>
      <c r="AA49" s="181">
        <f t="shared" si="34"/>
        <v>9084491</v>
      </c>
      <c r="AB49" s="181">
        <f t="shared" si="34"/>
        <v>7527524</v>
      </c>
      <c r="AC49" s="142">
        <f>(AB49-W49)/W49</f>
        <v>-0.12881173308334853</v>
      </c>
    </row>
    <row r="50" spans="1:29" s="6" customFormat="1" ht="15" customHeight="1" x14ac:dyDescent="0.25">
      <c r="A50" s="76" t="s">
        <v>217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137">
        <f>W13/W49</f>
        <v>0.83660483593300172</v>
      </c>
      <c r="X50" s="137">
        <f t="shared" ref="X50:AB50" si="35">X13/X49</f>
        <v>0.77966690238048197</v>
      </c>
      <c r="Y50" s="137">
        <f t="shared" si="35"/>
        <v>0.77948280370066247</v>
      </c>
      <c r="Z50" s="137">
        <f t="shared" si="35"/>
        <v>0.71426209180028455</v>
      </c>
      <c r="AA50" s="137">
        <f t="shared" si="35"/>
        <v>0.67414123697188977</v>
      </c>
      <c r="AB50" s="137">
        <f t="shared" si="35"/>
        <v>0.74832122753776675</v>
      </c>
      <c r="AC50" s="140">
        <f>(AB50-W50)/W50</f>
        <v>-0.10552605555618021</v>
      </c>
    </row>
    <row r="51" spans="1:29" s="6" customFormat="1" ht="15" customHeight="1" x14ac:dyDescent="0.25">
      <c r="A51" s="76" t="s">
        <v>218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144">
        <f>W16/W49</f>
        <v>0.15599978010595422</v>
      </c>
      <c r="X51" s="144">
        <f t="shared" ref="X51:AB51" si="36">X16/X49</f>
        <v>0.19532012055687636</v>
      </c>
      <c r="Y51" s="144">
        <f t="shared" si="36"/>
        <v>0.21205467717175724</v>
      </c>
      <c r="Z51" s="144">
        <f t="shared" si="36"/>
        <v>0.27139961573060395</v>
      </c>
      <c r="AA51" s="144">
        <f t="shared" si="36"/>
        <v>0.31788704507495247</v>
      </c>
      <c r="AB51" s="144">
        <f t="shared" si="36"/>
        <v>0.24686988709700561</v>
      </c>
      <c r="AC51" s="141">
        <f>(AB51-W51)/W51</f>
        <v>0.58250150692092573</v>
      </c>
    </row>
    <row r="52" spans="1:29" s="6" customFormat="1" ht="15" customHeight="1" thickBot="1" x14ac:dyDescent="0.3">
      <c r="A52" s="76" t="s">
        <v>219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144">
        <f>W19/W49</f>
        <v>7.3953839610440336E-3</v>
      </c>
      <c r="X52" s="144">
        <f t="shared" ref="X52:AB52" si="37">X19/X49</f>
        <v>2.5012977062641693E-2</v>
      </c>
      <c r="Y52" s="144">
        <f t="shared" si="37"/>
        <v>8.4625191275802709E-3</v>
      </c>
      <c r="Z52" s="144">
        <f t="shared" si="37"/>
        <v>1.4338292469111476E-2</v>
      </c>
      <c r="AA52" s="144">
        <f t="shared" si="37"/>
        <v>7.9717179531577503E-3</v>
      </c>
      <c r="AB52" s="144">
        <f t="shared" si="37"/>
        <v>4.8088853652276629E-3</v>
      </c>
      <c r="AC52" s="143">
        <f>(AB52-W52)/W52</f>
        <v>-0.34974500437584111</v>
      </c>
    </row>
    <row r="53" spans="1:29" s="6" customFormat="1" ht="15" customHeight="1" thickBot="1" x14ac:dyDescent="0.3">
      <c r="A53" s="222" t="s">
        <v>220</v>
      </c>
      <c r="B53" s="222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</row>
    <row r="54" spans="1:29" s="6" customFormat="1" ht="12.75" x14ac:dyDescent="0.25">
      <c r="A54" s="49" t="s">
        <v>221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182">
        <f>W49/W7</f>
        <v>3151.1761487964991</v>
      </c>
      <c r="X54" s="182">
        <f t="shared" ref="X54:AB54" si="38">X49/X7</f>
        <v>2598.784103512015</v>
      </c>
      <c r="Y54" s="182">
        <f t="shared" si="38"/>
        <v>2688.2518518518518</v>
      </c>
      <c r="Z54" s="182">
        <f t="shared" si="38"/>
        <v>3359.9702034883721</v>
      </c>
      <c r="AA54" s="182">
        <f t="shared" si="38"/>
        <v>3213.4740007074638</v>
      </c>
      <c r="AB54" s="182">
        <f t="shared" si="38"/>
        <v>2895.2015384615383</v>
      </c>
      <c r="AC54" s="142">
        <f>(AB54-W54)/W54</f>
        <v>-8.1231450813285339E-2</v>
      </c>
    </row>
    <row r="55" spans="1:29" s="6" customFormat="1" ht="18" customHeight="1" x14ac:dyDescent="0.25">
      <c r="A55" s="49" t="s">
        <v>222</v>
      </c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183">
        <f>W13/W7</f>
        <v>2636.2892049598831</v>
      </c>
      <c r="X55" s="183">
        <f t="shared" ref="X55:AB55" si="39">X13/X7</f>
        <v>2026.1859519408504</v>
      </c>
      <c r="Y55" s="183">
        <f t="shared" si="39"/>
        <v>2095.4460905349792</v>
      </c>
      <c r="Z55" s="183">
        <f t="shared" si="39"/>
        <v>2399.8993459302324</v>
      </c>
      <c r="AA55" s="183">
        <f t="shared" si="39"/>
        <v>2166.3353378139373</v>
      </c>
      <c r="AB55" s="183">
        <f t="shared" si="39"/>
        <v>2166.5407692307695</v>
      </c>
      <c r="AC55" s="140">
        <f>(AB55-W55)/W55</f>
        <v>-0.17818547177803351</v>
      </c>
    </row>
    <row r="56" spans="1:29" s="6" customFormat="1" ht="15" customHeight="1" thickBot="1" x14ac:dyDescent="0.3">
      <c r="A56" s="49" t="s">
        <v>223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183">
        <f>W16/W7</f>
        <v>491.58278628738145</v>
      </c>
      <c r="X56" s="183">
        <f t="shared" ref="X56:AB56" si="40">X16/X7</f>
        <v>507.59482439926063</v>
      </c>
      <c r="Y56" s="183">
        <f t="shared" si="40"/>
        <v>570.056378600823</v>
      </c>
      <c r="Z56" s="183">
        <f t="shared" si="40"/>
        <v>911.89462209302326</v>
      </c>
      <c r="AA56" s="183">
        <f t="shared" si="40"/>
        <v>1021.5217545100813</v>
      </c>
      <c r="AB56" s="183">
        <f t="shared" si="40"/>
        <v>714.73807692307696</v>
      </c>
      <c r="AC56" s="141">
        <f>(AB56-W56)/W56</f>
        <v>0.45395261359952899</v>
      </c>
    </row>
    <row r="57" spans="1:29" s="6" customFormat="1" ht="15" customHeight="1" thickBot="1" x14ac:dyDescent="0.3">
      <c r="A57" s="222" t="s">
        <v>224</v>
      </c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</row>
    <row r="58" spans="1:29" s="6" customFormat="1" ht="12.75" x14ac:dyDescent="0.25">
      <c r="A58" s="49" t="s">
        <v>225</v>
      </c>
      <c r="B58" s="135" t="e">
        <f>#REF!/#REF!</f>
        <v>#REF!</v>
      </c>
      <c r="C58" s="135" t="e">
        <f>#REF!/#REF!</f>
        <v>#REF!</v>
      </c>
      <c r="D58" s="135" t="e">
        <f>#REF!/#REF!</f>
        <v>#REF!</v>
      </c>
      <c r="E58" s="135" t="e">
        <f>#REF!/#REF!</f>
        <v>#REF!</v>
      </c>
      <c r="F58" s="135" t="e">
        <f>#REF!/#REF!</f>
        <v>#REF!</v>
      </c>
      <c r="G58" s="135" t="e">
        <f>#REF!/#REF!</f>
        <v>#REF!</v>
      </c>
      <c r="H58" s="135" t="e">
        <f>#REF!/#REF!</f>
        <v>#REF!</v>
      </c>
      <c r="I58" s="135" t="e">
        <f>#REF!/#REF!</f>
        <v>#REF!</v>
      </c>
      <c r="J58" s="135" t="e">
        <f>#REF!/#REF!</f>
        <v>#REF!</v>
      </c>
      <c r="K58" s="135" t="e">
        <f>#REF!/#REF!</f>
        <v>#REF!</v>
      </c>
      <c r="L58" s="135" t="e">
        <f>#REF!/#REF!</f>
        <v>#REF!</v>
      </c>
      <c r="M58" s="135" t="e">
        <f>#REF!/#REF!</f>
        <v>#REF!</v>
      </c>
      <c r="N58" s="135" t="e">
        <f>#REF!/#REF!</f>
        <v>#REF!</v>
      </c>
      <c r="O58" s="135" t="e">
        <f>#REF!/#REF!</f>
        <v>#REF!</v>
      </c>
      <c r="P58" s="135" t="e">
        <f>#REF!/#REF!</f>
        <v>#REF!</v>
      </c>
      <c r="Q58" s="135" t="e">
        <f>#REF!/#REF!</f>
        <v>#REF!</v>
      </c>
      <c r="R58" s="135" t="e">
        <f>#REF!/#REF!</f>
        <v>#REF!</v>
      </c>
      <c r="S58" s="135" t="e">
        <f>#REF!/#REF!</f>
        <v>#REF!</v>
      </c>
      <c r="T58" s="135" t="e">
        <f>#REF!/#REF!</f>
        <v>#REF!</v>
      </c>
      <c r="U58" s="135" t="e">
        <f>#REF!/#REF!</f>
        <v>#REF!</v>
      </c>
      <c r="V58" s="135" t="e">
        <f>#REF!/#REF!</f>
        <v>#REF!</v>
      </c>
      <c r="W58" s="184">
        <f>W16-W13</f>
        <v>-5880785</v>
      </c>
      <c r="X58" s="184">
        <f t="shared" ref="X58:AB58" si="41">X16-X13</f>
        <v>-4107789</v>
      </c>
      <c r="Y58" s="184">
        <f t="shared" si="41"/>
        <v>-3706697</v>
      </c>
      <c r="Z58" s="184">
        <f t="shared" si="41"/>
        <v>-4094989</v>
      </c>
      <c r="AA58" s="184">
        <f t="shared" si="41"/>
        <v>-3236388</v>
      </c>
      <c r="AB58" s="184">
        <f t="shared" si="41"/>
        <v>-3774687</v>
      </c>
      <c r="AC58" s="142">
        <f>(AB58-W58)/W58</f>
        <v>-0.3581321201166171</v>
      </c>
    </row>
    <row r="59" spans="1:29" s="6" customFormat="1" ht="15" customHeight="1" thickBot="1" x14ac:dyDescent="0.3">
      <c r="A59" s="49" t="s">
        <v>226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>
        <f>W16/W13</f>
        <v>0.18646770064624299</v>
      </c>
      <c r="X59" s="136">
        <f t="shared" ref="X59:AB59" si="42">X16/X13</f>
        <v>0.25051739398007566</v>
      </c>
      <c r="Y59" s="136">
        <f t="shared" si="42"/>
        <v>0.27204535644020522</v>
      </c>
      <c r="Z59" s="136">
        <f t="shared" si="42"/>
        <v>0.37997202826002724</v>
      </c>
      <c r="AA59" s="136">
        <f t="shared" si="42"/>
        <v>0.4715436879411779</v>
      </c>
      <c r="AB59" s="136">
        <f t="shared" si="42"/>
        <v>0.32989828166346707</v>
      </c>
      <c r="AC59" s="141">
        <f>(AB59-W59)/W59</f>
        <v>0.76919799257531074</v>
      </c>
    </row>
    <row r="60" spans="1:29" s="6" customFormat="1" ht="15" customHeight="1" thickBot="1" x14ac:dyDescent="0.3">
      <c r="A60" s="222" t="s">
        <v>227</v>
      </c>
      <c r="B60" s="222"/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</row>
    <row r="61" spans="1:29" s="6" customFormat="1" ht="15" customHeight="1" x14ac:dyDescent="0.25">
      <c r="A61" s="49" t="s">
        <v>228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20"/>
      <c r="P61" s="20"/>
      <c r="Q61" s="20"/>
      <c r="R61" s="14" t="e">
        <f>#REF!/#REF!</f>
        <v>#REF!</v>
      </c>
      <c r="S61" s="14" t="e">
        <f>#REF!/#REF!</f>
        <v>#REF!</v>
      </c>
      <c r="T61" s="14" t="e">
        <f>#REF!/#REF!</f>
        <v>#REF!</v>
      </c>
      <c r="U61" s="14" t="e">
        <f>#REF!/#REF!</f>
        <v>#REF!</v>
      </c>
      <c r="V61" s="14" t="e">
        <f>#REF!/#REF!</f>
        <v>#REF!</v>
      </c>
      <c r="W61" s="14">
        <f t="shared" ref="W61:AB61" si="43">W49/W22</f>
        <v>52.76656488549618</v>
      </c>
      <c r="X61" s="14">
        <f t="shared" si="43"/>
        <v>42.929532824427483</v>
      </c>
      <c r="Y61" s="14">
        <f t="shared" si="43"/>
        <v>39.892836641221372</v>
      </c>
      <c r="Z61" s="14">
        <f t="shared" si="43"/>
        <v>56.468018320610689</v>
      </c>
      <c r="AA61" s="14">
        <f t="shared" si="43"/>
        <v>55.477807633587787</v>
      </c>
      <c r="AB61" s="14">
        <f t="shared" si="43"/>
        <v>45.969612213740461</v>
      </c>
      <c r="AC61" s="142">
        <f>(AB61-W61)/W61</f>
        <v>-0.1288117330833484</v>
      </c>
    </row>
    <row r="62" spans="1:29" s="6" customFormat="1" ht="15" customHeight="1" x14ac:dyDescent="0.25">
      <c r="A62" s="49" t="s">
        <v>229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20"/>
      <c r="P62" s="20"/>
      <c r="Q62" s="20"/>
      <c r="R62" s="14" t="e">
        <f>#REF!/#REF!</f>
        <v>#REF!</v>
      </c>
      <c r="S62" s="14" t="e">
        <f>#REF!/#REF!</f>
        <v>#REF!</v>
      </c>
      <c r="T62" s="14" t="e">
        <f>#REF!/#REF!</f>
        <v>#REF!</v>
      </c>
      <c r="U62" s="14" t="e">
        <f>#REF!/#REF!</f>
        <v>#REF!</v>
      </c>
      <c r="V62" s="14" t="e">
        <f>#REF!/#REF!</f>
        <v>#REF!</v>
      </c>
      <c r="W62" s="14">
        <f>W13/W22</f>
        <v>44.144763358778626</v>
      </c>
      <c r="X62" s="14">
        <f t="shared" ref="X62:AB62" si="44">X13/X22</f>
        <v>33.470735877862595</v>
      </c>
      <c r="Y62" s="14">
        <f t="shared" si="44"/>
        <v>31.095780152671757</v>
      </c>
      <c r="Z62" s="14">
        <f t="shared" si="44"/>
        <v>40.332964885496182</v>
      </c>
      <c r="AA62" s="14">
        <f t="shared" si="44"/>
        <v>37.399877862595417</v>
      </c>
      <c r="AB62" s="14">
        <f t="shared" si="44"/>
        <v>34.400036641221376</v>
      </c>
      <c r="AC62" s="140">
        <f>(AB62-W62)/W62</f>
        <v>-0.22074479453788742</v>
      </c>
    </row>
    <row r="63" spans="1:29" s="6" customFormat="1" ht="15" customHeight="1" x14ac:dyDescent="0.25">
      <c r="A63" s="49" t="s">
        <v>230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20"/>
      <c r="P63" s="20"/>
      <c r="Q63" s="20"/>
      <c r="R63" s="14"/>
      <c r="S63" s="14"/>
      <c r="T63" s="14"/>
      <c r="U63" s="14"/>
      <c r="V63" s="14"/>
      <c r="W63" s="14">
        <f>W22/W25</f>
        <v>831.2182741116751</v>
      </c>
      <c r="X63" s="14">
        <f t="shared" ref="X63:AB63" si="45">X22/X25</f>
        <v>831.2182741116751</v>
      </c>
      <c r="Y63" s="14">
        <f t="shared" si="45"/>
        <v>831.2182741116751</v>
      </c>
      <c r="Z63" s="14">
        <f t="shared" si="45"/>
        <v>831.2182741116751</v>
      </c>
      <c r="AA63" s="14">
        <f t="shared" si="45"/>
        <v>831.2182741116751</v>
      </c>
      <c r="AB63" s="14">
        <f t="shared" si="45"/>
        <v>831.2182741116751</v>
      </c>
      <c r="AC63" s="186">
        <f>(AB63-W63)/W63</f>
        <v>0</v>
      </c>
    </row>
    <row r="64" spans="1:29" s="6" customFormat="1" ht="15" customHeight="1" thickBot="1" x14ac:dyDescent="0.3">
      <c r="A64" s="49" t="s">
        <v>231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20"/>
      <c r="P64" s="20"/>
      <c r="Q64" s="20"/>
      <c r="R64" s="14" t="e">
        <f>#REF!/#REF!</f>
        <v>#REF!</v>
      </c>
      <c r="S64" s="14" t="e">
        <f>#REF!/#REF!</f>
        <v>#REF!</v>
      </c>
      <c r="T64" s="14" t="e">
        <f>#REF!/#REF!</f>
        <v>#REF!</v>
      </c>
      <c r="U64" s="14" t="e">
        <f>#REF!/#REF!</f>
        <v>#REF!</v>
      </c>
      <c r="V64" s="14" t="e">
        <f>#REF!/#REF!</f>
        <v>#REF!</v>
      </c>
      <c r="W64" s="185">
        <f>W49/W25</f>
        <v>43860.532994923858</v>
      </c>
      <c r="X64" s="185">
        <f t="shared" ref="X64:AB64" si="46">X49/X25</f>
        <v>35683.812182741116</v>
      </c>
      <c r="Y64" s="185">
        <f t="shared" si="46"/>
        <v>33159.654822335026</v>
      </c>
      <c r="Z64" s="185">
        <f t="shared" si="46"/>
        <v>46937.248730964464</v>
      </c>
      <c r="AA64" s="185">
        <f t="shared" si="46"/>
        <v>46114.167512690357</v>
      </c>
      <c r="AB64" s="185">
        <f t="shared" si="46"/>
        <v>38210.781725888322</v>
      </c>
      <c r="AC64" s="143">
        <f>(AB64-W64)/W64</f>
        <v>-0.12881173308334859</v>
      </c>
    </row>
    <row r="65" spans="1:29" s="6" customFormat="1" ht="15" customHeight="1" thickBot="1" x14ac:dyDescent="0.3">
      <c r="A65" s="222" t="s">
        <v>232</v>
      </c>
      <c r="B65" s="222"/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</row>
    <row r="66" spans="1:29" s="6" customFormat="1" ht="15" customHeight="1" x14ac:dyDescent="0.25">
      <c r="A66" s="49" t="s">
        <v>233</v>
      </c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20"/>
      <c r="P66" s="20"/>
      <c r="Q66" s="20"/>
      <c r="R66" s="14" t="e">
        <f>#REF!/#REF!</f>
        <v>#REF!</v>
      </c>
      <c r="S66" s="14" t="e">
        <f>#REF!/#REF!</f>
        <v>#REF!</v>
      </c>
      <c r="T66" s="14" t="e">
        <f>#REF!/#REF!</f>
        <v>#REF!</v>
      </c>
      <c r="U66" s="14" t="e">
        <f>#REF!/#REF!</f>
        <v>#REF!</v>
      </c>
      <c r="V66" s="14" t="e">
        <f>#REF!/#REF!</f>
        <v>#REF!</v>
      </c>
      <c r="W66" s="14">
        <f>W10/W7</f>
        <v>23.645149525893508</v>
      </c>
      <c r="X66" s="14">
        <f t="shared" ref="X66:AB66" si="47">X10/X7</f>
        <v>5.2406654343807766</v>
      </c>
      <c r="Y66" s="14">
        <f t="shared" si="47"/>
        <v>11.303703703703704</v>
      </c>
      <c r="Z66" s="14">
        <f t="shared" si="47"/>
        <v>17.261991279069768</v>
      </c>
      <c r="AA66" s="14">
        <f t="shared" si="47"/>
        <v>19.906614785992218</v>
      </c>
      <c r="AB66" s="14">
        <f t="shared" si="47"/>
        <v>17.78153846153846</v>
      </c>
      <c r="AC66" s="142">
        <f>(AB66-W66)/W66</f>
        <v>-0.24798367453476583</v>
      </c>
    </row>
    <row r="67" spans="1:29" s="6" customFormat="1" ht="15" customHeight="1" x14ac:dyDescent="0.25">
      <c r="A67" s="49" t="s">
        <v>234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20"/>
      <c r="P67" s="20"/>
      <c r="Q67" s="20"/>
      <c r="R67" s="14"/>
      <c r="S67" s="14"/>
      <c r="T67" s="14"/>
      <c r="U67" s="14"/>
      <c r="V67" s="14"/>
      <c r="W67" s="14">
        <f>W10/W25</f>
        <v>329.11167512690355</v>
      </c>
      <c r="X67" s="14">
        <f t="shared" ref="X67:AB67" si="48">X10/X25</f>
        <v>71.959390862944161</v>
      </c>
      <c r="Y67" s="14">
        <f t="shared" si="48"/>
        <v>139.43147208121826</v>
      </c>
      <c r="Z67" s="14">
        <f t="shared" si="48"/>
        <v>241.14213197969542</v>
      </c>
      <c r="AA67" s="14">
        <f t="shared" si="48"/>
        <v>285.66497461928935</v>
      </c>
      <c r="AB67" s="14">
        <f t="shared" si="48"/>
        <v>234.68020304568529</v>
      </c>
      <c r="AC67" s="140">
        <f>(AB67-W67)/W67</f>
        <v>-0.28692835659751675</v>
      </c>
    </row>
    <row r="68" spans="1:29" s="6" customFormat="1" ht="15" customHeight="1" thickBot="1" x14ac:dyDescent="0.3">
      <c r="A68" s="49" t="s">
        <v>235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20"/>
      <c r="P68" s="20"/>
      <c r="Q68" s="20"/>
      <c r="R68" s="14"/>
      <c r="S68" s="14"/>
      <c r="T68" s="14"/>
      <c r="U68" s="14"/>
      <c r="V68" s="14"/>
      <c r="W68" s="14">
        <f>W10/W22</f>
        <v>0.39593893129770991</v>
      </c>
      <c r="X68" s="14">
        <f t="shared" ref="X68:AB68" si="49">X10/X22</f>
        <v>8.6570992366412219E-2</v>
      </c>
      <c r="Y68" s="14">
        <f t="shared" si="49"/>
        <v>0.16774351145038169</v>
      </c>
      <c r="Z68" s="14">
        <f t="shared" si="49"/>
        <v>0.29010687022900761</v>
      </c>
      <c r="AA68" s="14">
        <f t="shared" si="49"/>
        <v>0.34367022900763361</v>
      </c>
      <c r="AB68" s="14">
        <f t="shared" si="49"/>
        <v>0.28233282442748092</v>
      </c>
      <c r="AC68" s="140">
        <f>(AB68-W68)/W68</f>
        <v>-0.28692835659751675</v>
      </c>
    </row>
    <row r="69" spans="1:29" s="6" customFormat="1" ht="15" customHeight="1" thickBot="1" x14ac:dyDescent="0.3">
      <c r="A69" s="222" t="s">
        <v>236</v>
      </c>
      <c r="B69" s="222"/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</row>
    <row r="70" spans="1:29" s="6" customFormat="1" ht="15" customHeight="1" x14ac:dyDescent="0.25">
      <c r="A70" s="49" t="s">
        <v>237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20"/>
      <c r="P70" s="20"/>
      <c r="Q70" s="20"/>
      <c r="R70" s="14" t="e">
        <f>#REF!/#REF!</f>
        <v>#REF!</v>
      </c>
      <c r="S70" s="14" t="e">
        <f>#REF!/#REF!</f>
        <v>#REF!</v>
      </c>
      <c r="T70" s="14" t="e">
        <f>#REF!/#REF!</f>
        <v>#REF!</v>
      </c>
      <c r="U70" s="14" t="e">
        <f>#REF!/#REF!</f>
        <v>#REF!</v>
      </c>
      <c r="V70" s="14" t="e">
        <f>#REF!/#REF!</f>
        <v>#REF!</v>
      </c>
      <c r="W70" s="14">
        <f>W7/W25</f>
        <v>13.918781725888325</v>
      </c>
      <c r="X70" s="14">
        <f t="shared" ref="X70:AB70" si="50">X7/X25</f>
        <v>13.730964467005077</v>
      </c>
      <c r="Y70" s="14">
        <f t="shared" si="50"/>
        <v>12.335025380710659</v>
      </c>
      <c r="Z70" s="14">
        <f t="shared" si="50"/>
        <v>13.969543147208121</v>
      </c>
      <c r="AA70" s="14">
        <f t="shared" si="50"/>
        <v>14.350253807106599</v>
      </c>
      <c r="AB70" s="14">
        <f t="shared" si="50"/>
        <v>13.197969543147208</v>
      </c>
      <c r="AC70" s="142">
        <f>(AB70-W70)/W70</f>
        <v>-5.1787016776075868E-2</v>
      </c>
    </row>
    <row r="71" spans="1:29" s="6" customFormat="1" ht="15" customHeight="1" thickBot="1" x14ac:dyDescent="0.3">
      <c r="A71" s="49" t="s">
        <v>238</v>
      </c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20"/>
      <c r="P71" s="20"/>
      <c r="Q71" s="20"/>
      <c r="R71" s="14"/>
      <c r="S71" s="14"/>
      <c r="T71" s="14"/>
      <c r="U71" s="14"/>
      <c r="V71" s="14"/>
      <c r="W71" s="187">
        <f>W7/W22</f>
        <v>1.674503816793893E-2</v>
      </c>
      <c r="X71" s="187">
        <f t="shared" ref="X71:AB71" si="51">X7/X22</f>
        <v>1.651908396946565E-2</v>
      </c>
      <c r="Y71" s="187">
        <f t="shared" si="51"/>
        <v>1.483969465648855E-2</v>
      </c>
      <c r="Z71" s="187">
        <f t="shared" si="51"/>
        <v>1.6806106870229008E-2</v>
      </c>
      <c r="AA71" s="187">
        <f t="shared" si="51"/>
        <v>1.7264122137404581E-2</v>
      </c>
      <c r="AB71" s="187">
        <f t="shared" si="51"/>
        <v>1.5877862595419848E-2</v>
      </c>
      <c r="AC71" s="140">
        <f>(AB71-W71)/W71</f>
        <v>-5.1787016776075744E-2</v>
      </c>
    </row>
    <row r="72" spans="1:29" s="6" customFormat="1" ht="15" customHeight="1" thickBot="1" x14ac:dyDescent="0.3">
      <c r="A72" s="222" t="s">
        <v>239</v>
      </c>
      <c r="B72" s="222"/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</row>
    <row r="73" spans="1:29" s="6" customFormat="1" ht="15" customHeight="1" x14ac:dyDescent="0.25">
      <c r="A73" s="59" t="s">
        <v>240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134">
        <f>W49/W7</f>
        <v>3151.1761487964991</v>
      </c>
      <c r="X73" s="134">
        <f t="shared" ref="X73:AB73" si="52">X49/X7</f>
        <v>2598.784103512015</v>
      </c>
      <c r="Y73" s="134">
        <f t="shared" si="52"/>
        <v>2688.2518518518518</v>
      </c>
      <c r="Z73" s="134">
        <f t="shared" si="52"/>
        <v>3359.9702034883721</v>
      </c>
      <c r="AA73" s="134">
        <f t="shared" si="52"/>
        <v>3213.4740007074638</v>
      </c>
      <c r="AB73" s="134">
        <f t="shared" si="52"/>
        <v>2895.2015384615383</v>
      </c>
      <c r="AC73" s="142">
        <f>(AB73-W73)/W73</f>
        <v>-8.1231450813285339E-2</v>
      </c>
    </row>
    <row r="74" spans="1:29" s="6" customFormat="1" ht="15" customHeight="1" thickBot="1" x14ac:dyDescent="0.3">
      <c r="A74" s="80" t="s">
        <v>241</v>
      </c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188">
        <f>W49/(W22*W25)</f>
        <v>0.26785058317510752</v>
      </c>
      <c r="X74" s="188">
        <f t="shared" ref="X74:AB74" si="53">X49/(X22*X25)</f>
        <v>0.21791641027628164</v>
      </c>
      <c r="Y74" s="188">
        <f t="shared" si="53"/>
        <v>0.20250170883868718</v>
      </c>
      <c r="Z74" s="188">
        <f t="shared" si="53"/>
        <v>0.28663968690665326</v>
      </c>
      <c r="AA74" s="188">
        <f t="shared" si="53"/>
        <v>0.28161323671871974</v>
      </c>
      <c r="AB74" s="188">
        <f t="shared" si="53"/>
        <v>0.23334828534893634</v>
      </c>
      <c r="AC74" s="143">
        <f>(AB74-W74)/W74</f>
        <v>-0.12881173308334845</v>
      </c>
    </row>
    <row r="75" spans="1:29" s="6" customFormat="1" ht="11.1" customHeight="1" x14ac:dyDescent="0.25">
      <c r="A75" s="53" t="s">
        <v>242</v>
      </c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21"/>
      <c r="P75" s="21"/>
      <c r="Q75" s="21"/>
      <c r="R75" s="17"/>
      <c r="S75" s="17"/>
      <c r="T75" s="17"/>
      <c r="U75" s="17"/>
      <c r="V75" s="3"/>
    </row>
    <row r="76" spans="1:29" s="6" customFormat="1" ht="11.1" customHeight="1" x14ac:dyDescent="0.25">
      <c r="A76" s="53" t="s">
        <v>8</v>
      </c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21"/>
      <c r="P76" s="21"/>
      <c r="Q76" s="21"/>
      <c r="R76" s="17"/>
      <c r="S76" s="17"/>
      <c r="T76" s="17"/>
      <c r="U76" s="17"/>
      <c r="V76" s="3"/>
    </row>
  </sheetData>
  <mergeCells count="16">
    <mergeCell ref="A48:AC48"/>
    <mergeCell ref="A65:AC65"/>
    <mergeCell ref="A69:AC69"/>
    <mergeCell ref="A72:AC72"/>
    <mergeCell ref="A4:AC4"/>
    <mergeCell ref="A33:AC33"/>
    <mergeCell ref="A53:AC53"/>
    <mergeCell ref="A57:AC57"/>
    <mergeCell ref="A60:AC60"/>
    <mergeCell ref="A26:AC26"/>
    <mergeCell ref="A27:AC27"/>
    <mergeCell ref="A30:AC30"/>
    <mergeCell ref="A36:AC36"/>
    <mergeCell ref="A39:AC39"/>
    <mergeCell ref="A42:AC42"/>
    <mergeCell ref="A45:AC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27. Sea Transport</vt:lpstr>
      <vt:lpstr>A- Port of Beirut</vt:lpstr>
      <vt:lpstr>A1. POB Summary (1993-2025)</vt:lpstr>
      <vt:lpstr>A2. POB Vessels (2014-2025)</vt:lpstr>
      <vt:lpstr>A3. POB Freight Mvt.(1993-2025)</vt:lpstr>
      <vt:lpstr>B- Port of Tripoli (2019-2024)</vt:lpstr>
      <vt:lpstr>C. Ports Beirut+Tripoli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2026-01-07T15:45:02Z</cp:lastPrinted>
  <dcterms:created xsi:type="dcterms:W3CDTF">2025-12-22T09:06:41Z</dcterms:created>
  <dcterms:modified xsi:type="dcterms:W3CDTF">2026-06-15T15:40:16Z</dcterms:modified>
</cp:coreProperties>
</file>