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601" activeTab="0"/>
  </bookViews>
  <sheets>
    <sheet name="5.6" sheetId="1" r:id="rId1"/>
    <sheet name="5.6.a" sheetId="2" r:id="rId2"/>
    <sheet name="5.6.b" sheetId="3" r:id="rId3"/>
    <sheet name="5.7" sheetId="4" r:id="rId4"/>
  </sheets>
  <definedNames/>
  <calcPr fullCalcOnLoad="1"/>
</workbook>
</file>

<file path=xl/sharedStrings.xml><?xml version="1.0" encoding="utf-8"?>
<sst xmlns="http://schemas.openxmlformats.org/spreadsheetml/2006/main" count="201" uniqueCount="48">
  <si>
    <t>Matn</t>
  </si>
  <si>
    <t>Table 5.6 - Real-estate transactions - Real-Estate Register</t>
  </si>
  <si>
    <t>Source : Real estate service of Cazas</t>
  </si>
  <si>
    <t>Baabda Aaley Chouf</t>
  </si>
  <si>
    <t>Kesrouan Jbayl</t>
  </si>
  <si>
    <t>Sales, donations and successions</t>
  </si>
  <si>
    <t>Registered Transactions</t>
  </si>
  <si>
    <t>Seize</t>
  </si>
  <si>
    <t>Levied seize</t>
  </si>
  <si>
    <t>Real Estate, transaction, taxes</t>
  </si>
  <si>
    <t>Transactions &amp; contracts</t>
  </si>
  <si>
    <t>Taxes</t>
  </si>
  <si>
    <t>Real estate</t>
  </si>
  <si>
    <t>Sales, donations &amp; successions</t>
  </si>
  <si>
    <t>Seizes</t>
  </si>
  <si>
    <t>Levied seizes</t>
  </si>
  <si>
    <t>Real-estate</t>
  </si>
  <si>
    <t>Total</t>
  </si>
  <si>
    <t>Beirut</t>
  </si>
  <si>
    <t>Bekaa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</si>
  <si>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</si>
  <si>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</si>
  <si>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</si>
  <si>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</si>
  <si>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</si>
  <si>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</si>
  <si>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</si>
  <si>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</si>
  <si>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</si>
  <si>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</si>
  <si>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</si>
  <si>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</si>
  <si>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</si>
  <si>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Transactions</t>
  </si>
  <si>
    <t>South Lebanon</t>
  </si>
  <si>
    <t>Nabatieh</t>
  </si>
  <si>
    <t>Number</t>
  </si>
  <si>
    <t>North Lebanon 1</t>
  </si>
  <si>
    <t>North Lebanon 2</t>
  </si>
  <si>
    <t>Table assembled by CAS</t>
  </si>
  <si>
    <t>Table 5.6 - Real estate transaction - Real-Estate Register - Cont. 2</t>
  </si>
  <si>
    <t>Table 5.7 - Real Estate transactions - Real estate court</t>
  </si>
  <si>
    <t>Levied mortgages</t>
  </si>
  <si>
    <t>Real-estate mortgages</t>
  </si>
  <si>
    <t>Real estate mortgages</t>
  </si>
  <si>
    <t>Value in million LBP</t>
  </si>
  <si>
    <t>Value million LBP</t>
  </si>
  <si>
    <t>Table 5.6 - Real estate transactions - Real estate Register - Cont. 1</t>
  </si>
</sst>
</file>

<file path=xl/styles.xml><?xml version="1.0" encoding="utf-8"?>
<styleSheet xmlns="http://schemas.openxmlformats.org/spreadsheetml/2006/main">
  <numFmts count="58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</numFmts>
  <fonts count="17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vertical="center" readingOrder="1"/>
    </xf>
    <xf numFmtId="0" fontId="6" fillId="0" borderId="0" xfId="0" applyFont="1" applyBorder="1" applyAlignment="1">
      <alignment horizontal="left" vertical="center" readingOrder="1"/>
    </xf>
    <xf numFmtId="0" fontId="6" fillId="0" borderId="0" xfId="0" applyFont="1" applyFill="1" applyAlignment="1">
      <alignment horizontal="right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1" fillId="0" borderId="0" xfId="0" applyFont="1" applyFill="1" applyAlignment="1">
      <alignment horizontal="right" vertical="center" readingOrder="1"/>
    </xf>
    <xf numFmtId="0" fontId="9" fillId="0" borderId="0" xfId="0" applyFont="1" applyFill="1" applyBorder="1" applyAlignment="1">
      <alignment vertical="center" textRotation="90" readingOrder="1"/>
    </xf>
    <xf numFmtId="0" fontId="12" fillId="0" borderId="0" xfId="0" applyFont="1" applyFill="1" applyBorder="1" applyAlignment="1">
      <alignment vertical="center" textRotation="90" readingOrder="1"/>
    </xf>
    <xf numFmtId="0" fontId="10" fillId="0" borderId="0" xfId="0" applyFont="1" applyBorder="1" applyAlignment="1">
      <alignment horizontal="left" vertical="center" readingOrder="1"/>
    </xf>
    <xf numFmtId="0" fontId="15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readingOrder="1"/>
    </xf>
    <xf numFmtId="0" fontId="10" fillId="0" borderId="1" xfId="0" applyFont="1" applyBorder="1" applyAlignment="1">
      <alignment vertical="center"/>
    </xf>
    <xf numFmtId="0" fontId="7" fillId="0" borderId="0" xfId="0" applyFont="1" applyFill="1" applyAlignment="1">
      <alignment vertical="center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center" vertical="center" readingOrder="1"/>
    </xf>
    <xf numFmtId="0" fontId="15" fillId="2" borderId="3" xfId="0" applyFont="1" applyFill="1" applyBorder="1" applyAlignment="1">
      <alignment horizontal="center" vertical="center" wrapText="1" readingOrder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 readingOrder="1"/>
    </xf>
    <xf numFmtId="0" fontId="10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6" fillId="0" borderId="6" xfId="0" applyNumberFormat="1" applyFont="1" applyBorder="1" applyAlignment="1">
      <alignment vertical="center" readingOrder="1"/>
    </xf>
    <xf numFmtId="3" fontId="16" fillId="0" borderId="7" xfId="0" applyNumberFormat="1" applyFont="1" applyBorder="1" applyAlignment="1">
      <alignment vertical="center" readingOrder="1"/>
    </xf>
    <xf numFmtId="3" fontId="10" fillId="0" borderId="8" xfId="15" applyNumberFormat="1" applyFont="1" applyFill="1" applyBorder="1" applyAlignment="1">
      <alignment horizontal="right" vertical="center" readingOrder="1"/>
    </xf>
    <xf numFmtId="3" fontId="10" fillId="0" borderId="1" xfId="15" applyNumberFormat="1" applyFont="1" applyFill="1" applyBorder="1" applyAlignment="1">
      <alignment horizontal="right" vertical="center" readingOrder="1"/>
    </xf>
    <xf numFmtId="3" fontId="10" fillId="0" borderId="5" xfId="15" applyNumberFormat="1" applyFont="1" applyFill="1" applyBorder="1" applyAlignment="1">
      <alignment horizontal="right" vertical="center" readingOrder="1"/>
    </xf>
    <xf numFmtId="3" fontId="10" fillId="0" borderId="8" xfId="15" applyNumberFormat="1" applyFont="1" applyBorder="1" applyAlignment="1">
      <alignment horizontal="right" vertical="center" readingOrder="1"/>
    </xf>
    <xf numFmtId="3" fontId="10" fillId="0" borderId="9" xfId="15" applyNumberFormat="1" applyFont="1" applyFill="1" applyBorder="1" applyAlignment="1">
      <alignment horizontal="right" vertical="center" readingOrder="1"/>
    </xf>
    <xf numFmtId="3" fontId="10" fillId="0" borderId="10" xfId="15" applyNumberFormat="1" applyFont="1" applyFill="1" applyBorder="1" applyAlignment="1">
      <alignment horizontal="right" vertical="center" readingOrder="1"/>
    </xf>
    <xf numFmtId="3" fontId="16" fillId="0" borderId="11" xfId="0" applyNumberFormat="1" applyFont="1" applyBorder="1" applyAlignment="1">
      <alignment vertical="center" readingOrder="1"/>
    </xf>
    <xf numFmtId="3" fontId="16" fillId="0" borderId="12" xfId="0" applyNumberFormat="1" applyFont="1" applyBorder="1" applyAlignment="1">
      <alignment vertical="center" readingOrder="1"/>
    </xf>
    <xf numFmtId="0" fontId="9" fillId="2" borderId="13" xfId="0" applyFont="1" applyFill="1" applyBorder="1" applyAlignment="1">
      <alignment horizontal="center" vertical="center" textRotation="90" readingOrder="1"/>
    </xf>
    <xf numFmtId="3" fontId="10" fillId="0" borderId="14" xfId="15" applyNumberFormat="1" applyFont="1" applyBorder="1" applyAlignment="1">
      <alignment horizontal="right" vertical="center"/>
    </xf>
    <xf numFmtId="3" fontId="10" fillId="0" borderId="15" xfId="15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vertical="center"/>
    </xf>
    <xf numFmtId="3" fontId="10" fillId="0" borderId="1" xfId="15" applyNumberFormat="1" applyFont="1" applyFill="1" applyBorder="1" applyAlignment="1">
      <alignment horizontal="right" vertical="center"/>
    </xf>
    <xf numFmtId="3" fontId="10" fillId="0" borderId="5" xfId="15" applyNumberFormat="1" applyFont="1" applyFill="1" applyBorder="1" applyAlignment="1">
      <alignment horizontal="right" vertical="center"/>
    </xf>
    <xf numFmtId="3" fontId="16" fillId="0" borderId="6" xfId="0" applyNumberFormat="1" applyFont="1" applyBorder="1" applyAlignment="1">
      <alignment vertical="center"/>
    </xf>
    <xf numFmtId="3" fontId="10" fillId="0" borderId="1" xfId="15" applyNumberFormat="1" applyFont="1" applyBorder="1" applyAlignment="1">
      <alignment horizontal="right" vertical="center"/>
    </xf>
    <xf numFmtId="3" fontId="10" fillId="0" borderId="5" xfId="15" applyNumberFormat="1" applyFont="1" applyBorder="1" applyAlignment="1">
      <alignment horizontal="right" vertical="center"/>
    </xf>
    <xf numFmtId="3" fontId="10" fillId="0" borderId="9" xfId="15" applyNumberFormat="1" applyFont="1" applyBorder="1" applyAlignment="1">
      <alignment horizontal="right" vertical="center"/>
    </xf>
    <xf numFmtId="3" fontId="10" fillId="0" borderId="10" xfId="15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10" fillId="0" borderId="16" xfId="15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vertical="center"/>
    </xf>
    <xf numFmtId="3" fontId="10" fillId="0" borderId="17" xfId="15" applyNumberFormat="1" applyFont="1" applyFill="1" applyBorder="1" applyAlignment="1">
      <alignment horizontal="right" vertical="center" readingOrder="1"/>
    </xf>
    <xf numFmtId="3" fontId="10" fillId="0" borderId="18" xfId="15" applyNumberFormat="1" applyFont="1" applyFill="1" applyBorder="1" applyAlignment="1">
      <alignment horizontal="right" vertical="center" readingOrder="1"/>
    </xf>
    <xf numFmtId="3" fontId="10" fillId="0" borderId="16" xfId="15" applyNumberFormat="1" applyFont="1" applyFill="1" applyBorder="1" applyAlignment="1">
      <alignment horizontal="right" vertical="center" readingOrder="1"/>
    </xf>
    <xf numFmtId="3" fontId="10" fillId="0" borderId="19" xfId="15" applyNumberFormat="1" applyFont="1" applyFill="1" applyBorder="1" applyAlignment="1">
      <alignment horizontal="right" vertical="center" readingOrder="1"/>
    </xf>
    <xf numFmtId="3" fontId="10" fillId="0" borderId="20" xfId="15" applyNumberFormat="1" applyFont="1" applyFill="1" applyBorder="1" applyAlignment="1">
      <alignment horizontal="right" vertical="center" readingOrder="1"/>
    </xf>
    <xf numFmtId="3" fontId="10" fillId="0" borderId="14" xfId="15" applyNumberFormat="1" applyFont="1" applyFill="1" applyBorder="1" applyAlignment="1">
      <alignment horizontal="right" vertical="center" readingOrder="1"/>
    </xf>
    <xf numFmtId="3" fontId="10" fillId="0" borderId="15" xfId="15" applyNumberFormat="1" applyFont="1" applyFill="1" applyBorder="1" applyAlignment="1">
      <alignment horizontal="right" vertical="center" readingOrder="1"/>
    </xf>
    <xf numFmtId="3" fontId="10" fillId="0" borderId="1" xfId="15" applyNumberFormat="1" applyFont="1" applyBorder="1" applyAlignment="1">
      <alignment horizontal="right" vertical="center" readingOrder="1"/>
    </xf>
    <xf numFmtId="3" fontId="10" fillId="0" borderId="5" xfId="15" applyNumberFormat="1" applyFont="1" applyBorder="1" applyAlignment="1">
      <alignment horizontal="right" vertical="center" readingOrder="1"/>
    </xf>
    <xf numFmtId="3" fontId="10" fillId="0" borderId="21" xfId="15" applyNumberFormat="1" applyFont="1" applyBorder="1" applyAlignment="1">
      <alignment horizontal="right" vertical="center" readingOrder="1"/>
    </xf>
    <xf numFmtId="3" fontId="10" fillId="0" borderId="16" xfId="15" applyNumberFormat="1" applyFont="1" applyBorder="1" applyAlignment="1">
      <alignment horizontal="right" vertical="center" readingOrder="1"/>
    </xf>
    <xf numFmtId="3" fontId="10" fillId="0" borderId="19" xfId="15" applyNumberFormat="1" applyFont="1" applyBorder="1" applyAlignment="1">
      <alignment horizontal="right" vertical="center" readingOrder="1"/>
    </xf>
    <xf numFmtId="3" fontId="10" fillId="0" borderId="20" xfId="15" applyNumberFormat="1" applyFont="1" applyBorder="1" applyAlignment="1">
      <alignment horizontal="right" vertical="center" readingOrder="1"/>
    </xf>
    <xf numFmtId="3" fontId="10" fillId="0" borderId="14" xfId="15" applyNumberFormat="1" applyFont="1" applyBorder="1" applyAlignment="1">
      <alignment horizontal="right" vertical="center" readingOrder="1"/>
    </xf>
    <xf numFmtId="3" fontId="10" fillId="0" borderId="15" xfId="15" applyNumberFormat="1" applyFont="1" applyBorder="1" applyAlignment="1">
      <alignment horizontal="right" vertical="center" readingOrder="1"/>
    </xf>
    <xf numFmtId="0" fontId="7" fillId="2" borderId="22" xfId="26" applyFont="1" applyFill="1" applyBorder="1" applyAlignment="1">
      <alignment horizontal="center" vertical="center" wrapText="1" readingOrder="1"/>
      <protection/>
    </xf>
    <xf numFmtId="0" fontId="7" fillId="2" borderId="23" xfId="26" applyFont="1" applyFill="1" applyBorder="1" applyAlignment="1">
      <alignment horizontal="center" vertical="center" wrapText="1" readingOrder="1"/>
      <protection/>
    </xf>
    <xf numFmtId="3" fontId="10" fillId="0" borderId="24" xfId="15" applyNumberFormat="1" applyFont="1" applyFill="1" applyBorder="1" applyAlignment="1">
      <alignment horizontal="right" vertical="center" readingOrder="1"/>
    </xf>
    <xf numFmtId="3" fontId="10" fillId="0" borderId="25" xfId="15" applyNumberFormat="1" applyFont="1" applyFill="1" applyBorder="1" applyAlignment="1">
      <alignment horizontal="right" vertical="center" readingOrder="1"/>
    </xf>
    <xf numFmtId="0" fontId="0" fillId="0" borderId="0" xfId="0" applyAlignment="1">
      <alignment vertical="center"/>
    </xf>
    <xf numFmtId="3" fontId="16" fillId="0" borderId="26" xfId="15" applyNumberFormat="1" applyFont="1" applyBorder="1" applyAlignment="1">
      <alignment horizontal="right" vertical="center"/>
    </xf>
    <xf numFmtId="3" fontId="16" fillId="0" borderId="27" xfId="15" applyNumberFormat="1" applyFont="1" applyBorder="1" applyAlignment="1">
      <alignment horizontal="right" vertical="center"/>
    </xf>
    <xf numFmtId="3" fontId="16" fillId="0" borderId="28" xfId="15" applyNumberFormat="1" applyFont="1" applyBorder="1" applyAlignment="1">
      <alignment horizontal="right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5" fillId="2" borderId="26" xfId="0" applyFont="1" applyFill="1" applyBorder="1" applyAlignment="1">
      <alignment horizontal="center" vertical="center" textRotation="90" wrapText="1" readingOrder="1"/>
    </xf>
    <xf numFmtId="0" fontId="15" fillId="2" borderId="28" xfId="0" applyFont="1" applyFill="1" applyBorder="1" applyAlignment="1">
      <alignment horizontal="center" vertical="center" textRotation="90" wrapText="1" readingOrder="1"/>
    </xf>
    <xf numFmtId="0" fontId="15" fillId="2" borderId="27" xfId="0" applyFont="1" applyFill="1" applyBorder="1" applyAlignment="1">
      <alignment horizontal="center" vertical="center" textRotation="90" wrapText="1" readingOrder="1"/>
    </xf>
    <xf numFmtId="3" fontId="16" fillId="0" borderId="27" xfId="15" applyNumberFormat="1" applyFont="1" applyFill="1" applyBorder="1" applyAlignment="1">
      <alignment horizontal="right" vertical="center" readingOrder="1"/>
    </xf>
    <xf numFmtId="3" fontId="16" fillId="0" borderId="26" xfId="15" applyNumberFormat="1" applyFont="1" applyFill="1" applyBorder="1" applyAlignment="1">
      <alignment horizontal="right" vertical="center" readingOrder="1"/>
    </xf>
    <xf numFmtId="3" fontId="16" fillId="0" borderId="28" xfId="15" applyNumberFormat="1" applyFont="1" applyFill="1" applyBorder="1" applyAlignment="1">
      <alignment horizontal="right" vertical="center" readingOrder="1"/>
    </xf>
    <xf numFmtId="3" fontId="10" fillId="0" borderId="32" xfId="15" applyNumberFormat="1" applyFont="1" applyBorder="1" applyAlignment="1">
      <alignment horizontal="right" vertical="center" readingOrder="1"/>
    </xf>
    <xf numFmtId="0" fontId="15" fillId="2" borderId="4" xfId="0" applyFont="1" applyFill="1" applyBorder="1" applyAlignment="1">
      <alignment horizontal="center" vertical="center" textRotation="90" wrapText="1" readingOrder="1"/>
    </xf>
    <xf numFmtId="3" fontId="10" fillId="0" borderId="26" xfId="15" applyNumberFormat="1" applyFont="1" applyFill="1" applyBorder="1" applyAlignment="1">
      <alignment horizontal="right" vertical="center" readingOrder="1"/>
    </xf>
    <xf numFmtId="3" fontId="10" fillId="0" borderId="9" xfId="15" applyNumberFormat="1" applyFont="1" applyBorder="1" applyAlignment="1">
      <alignment horizontal="right" vertical="center" readingOrder="1"/>
    </xf>
    <xf numFmtId="3" fontId="10" fillId="0" borderId="27" xfId="15" applyNumberFormat="1" applyFont="1" applyFill="1" applyBorder="1" applyAlignment="1">
      <alignment horizontal="right" vertical="center" readingOrder="1"/>
    </xf>
    <xf numFmtId="3" fontId="10" fillId="0" borderId="28" xfId="15" applyNumberFormat="1" applyFont="1" applyFill="1" applyBorder="1" applyAlignment="1">
      <alignment horizontal="right" vertical="center" readingOrder="1"/>
    </xf>
    <xf numFmtId="172" fontId="6" fillId="0" borderId="0" xfId="0" applyNumberFormat="1" applyFont="1" applyAlignment="1">
      <alignment vertical="center" readingOrder="1"/>
    </xf>
    <xf numFmtId="3" fontId="16" fillId="0" borderId="33" xfId="0" applyNumberFormat="1" applyFont="1" applyBorder="1" applyAlignment="1">
      <alignment vertical="center" readingOrder="1"/>
    </xf>
    <xf numFmtId="3" fontId="10" fillId="0" borderId="10" xfId="15" applyNumberFormat="1" applyFont="1" applyBorder="1" applyAlignment="1">
      <alignment horizontal="right" vertical="center" readingOrder="1"/>
    </xf>
    <xf numFmtId="3" fontId="16" fillId="0" borderId="26" xfId="15" applyNumberFormat="1" applyFont="1" applyBorder="1" applyAlignment="1">
      <alignment horizontal="right" vertical="center" readingOrder="1"/>
    </xf>
    <xf numFmtId="3" fontId="16" fillId="0" borderId="27" xfId="15" applyNumberFormat="1" applyFont="1" applyBorder="1" applyAlignment="1">
      <alignment horizontal="right" vertical="center" readingOrder="1"/>
    </xf>
    <xf numFmtId="3" fontId="16" fillId="0" borderId="28" xfId="15" applyNumberFormat="1" applyFont="1" applyBorder="1" applyAlignment="1">
      <alignment horizontal="right" vertical="center" readingOrder="1"/>
    </xf>
    <xf numFmtId="3" fontId="16" fillId="0" borderId="34" xfId="15" applyNumberFormat="1" applyFont="1" applyBorder="1" applyAlignment="1">
      <alignment horizontal="right" vertical="center" readingOrder="1"/>
    </xf>
    <xf numFmtId="3" fontId="16" fillId="0" borderId="33" xfId="0" applyNumberFormat="1" applyFont="1" applyBorder="1" applyAlignment="1">
      <alignment vertical="center"/>
    </xf>
    <xf numFmtId="0" fontId="15" fillId="2" borderId="3" xfId="26" applyFont="1" applyFill="1" applyBorder="1" applyAlignment="1">
      <alignment horizontal="center" vertical="center" wrapText="1" readingOrder="1"/>
      <protection/>
    </xf>
    <xf numFmtId="3" fontId="16" fillId="0" borderId="35" xfId="15" applyNumberFormat="1" applyFont="1" applyBorder="1" applyAlignment="1">
      <alignment horizontal="right" vertical="center"/>
    </xf>
    <xf numFmtId="3" fontId="16" fillId="0" borderId="36" xfId="15" applyNumberFormat="1" applyFont="1" applyBorder="1" applyAlignment="1">
      <alignment horizontal="right" vertical="center"/>
    </xf>
    <xf numFmtId="3" fontId="16" fillId="0" borderId="37" xfId="15" applyNumberFormat="1" applyFont="1" applyBorder="1" applyAlignment="1">
      <alignment horizontal="right" vertical="center"/>
    </xf>
    <xf numFmtId="3" fontId="16" fillId="0" borderId="38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5" fillId="2" borderId="12" xfId="26" applyFont="1" applyFill="1" applyBorder="1" applyAlignment="1">
      <alignment horizontal="left" vertical="center" wrapText="1" readingOrder="1"/>
      <protection/>
    </xf>
    <xf numFmtId="0" fontId="15" fillId="2" borderId="6" xfId="26" applyFont="1" applyFill="1" applyBorder="1" applyAlignment="1">
      <alignment horizontal="left" vertical="center" wrapText="1" readingOrder="1"/>
      <protection/>
    </xf>
    <xf numFmtId="0" fontId="15" fillId="2" borderId="6" xfId="26" applyFont="1" applyFill="1" applyBorder="1" applyAlignment="1">
      <alignment horizontal="left" vertical="center" readingOrder="1"/>
      <protection/>
    </xf>
    <xf numFmtId="0" fontId="15" fillId="2" borderId="7" xfId="26" applyFont="1" applyFill="1" applyBorder="1" applyAlignment="1">
      <alignment horizontal="left" vertical="center" wrapText="1" readingOrder="1"/>
      <protection/>
    </xf>
    <xf numFmtId="172" fontId="0" fillId="0" borderId="0" xfId="0" applyNumberFormat="1" applyAlignment="1">
      <alignment vertical="center"/>
    </xf>
    <xf numFmtId="3" fontId="10" fillId="0" borderId="0" xfId="15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 readingOrder="1"/>
    </xf>
    <xf numFmtId="0" fontId="13" fillId="2" borderId="40" xfId="0" applyFont="1" applyFill="1" applyBorder="1" applyAlignment="1">
      <alignment horizontal="center" vertical="center" textRotation="90" readingOrder="1"/>
    </xf>
    <xf numFmtId="0" fontId="13" fillId="2" borderId="41" xfId="0" applyFont="1" applyFill="1" applyBorder="1" applyAlignment="1">
      <alignment horizontal="center" vertical="center" textRotation="90" readingOrder="1"/>
    </xf>
    <xf numFmtId="0" fontId="9" fillId="2" borderId="3" xfId="0" applyFont="1" applyFill="1" applyBorder="1" applyAlignment="1">
      <alignment horizontal="center" vertical="center" readingOrder="1"/>
    </xf>
    <xf numFmtId="0" fontId="9" fillId="2" borderId="42" xfId="0" applyFont="1" applyFill="1" applyBorder="1" applyAlignment="1">
      <alignment horizontal="center" vertical="center" readingOrder="1"/>
    </xf>
    <xf numFmtId="0" fontId="9" fillId="2" borderId="33" xfId="0" applyFont="1" applyFill="1" applyBorder="1" applyAlignment="1">
      <alignment horizontal="center" vertical="center" readingOrder="1"/>
    </xf>
    <xf numFmtId="0" fontId="9" fillId="2" borderId="40" xfId="0" applyFont="1" applyFill="1" applyBorder="1" applyAlignment="1">
      <alignment horizontal="center" vertical="center" textRotation="90" wrapText="1" readingOrder="1"/>
    </xf>
    <xf numFmtId="0" fontId="9" fillId="2" borderId="41" xfId="0" applyFont="1" applyFill="1" applyBorder="1" applyAlignment="1">
      <alignment horizontal="center" vertical="center" textRotation="90" wrapText="1" readingOrder="1"/>
    </xf>
    <xf numFmtId="0" fontId="9" fillId="2" borderId="43" xfId="0" applyFont="1" applyFill="1" applyBorder="1" applyAlignment="1">
      <alignment horizontal="center" vertical="center" textRotation="90" wrapText="1" readingOrder="1"/>
    </xf>
    <xf numFmtId="0" fontId="13" fillId="2" borderId="43" xfId="0" applyFont="1" applyFill="1" applyBorder="1" applyAlignment="1">
      <alignment horizontal="center" vertical="center" textRotation="90" readingOrder="1"/>
    </xf>
    <xf numFmtId="0" fontId="13" fillId="2" borderId="40" xfId="0" applyFont="1" applyFill="1" applyBorder="1" applyAlignment="1">
      <alignment horizontal="center" vertical="center" textRotation="90"/>
    </xf>
    <xf numFmtId="0" fontId="13" fillId="2" borderId="41" xfId="0" applyFont="1" applyFill="1" applyBorder="1" applyAlignment="1">
      <alignment horizontal="center" vertical="center" textRotation="90"/>
    </xf>
    <xf numFmtId="0" fontId="13" fillId="2" borderId="43" xfId="0" applyFont="1" applyFill="1" applyBorder="1" applyAlignment="1">
      <alignment horizontal="center" vertical="center" textRotation="90"/>
    </xf>
    <xf numFmtId="0" fontId="9" fillId="2" borderId="44" xfId="0" applyFont="1" applyFill="1" applyBorder="1" applyAlignment="1">
      <alignment horizontal="center" vertical="center" textRotation="90" readingOrder="1"/>
    </xf>
    <xf numFmtId="0" fontId="9" fillId="2" borderId="0" xfId="0" applyFont="1" applyFill="1" applyBorder="1" applyAlignment="1">
      <alignment horizontal="center" vertical="center" textRotation="90" readingOrder="1"/>
    </xf>
    <xf numFmtId="0" fontId="9" fillId="2" borderId="45" xfId="0" applyFont="1" applyFill="1" applyBorder="1" applyAlignment="1">
      <alignment horizontal="center" vertical="center" textRotation="90" readingOrder="1"/>
    </xf>
    <xf numFmtId="0" fontId="9" fillId="2" borderId="40" xfId="27" applyFont="1" applyFill="1" applyBorder="1" applyAlignment="1">
      <alignment horizontal="center" vertical="center" textRotation="90" readingOrder="1"/>
      <protection/>
    </xf>
    <xf numFmtId="0" fontId="9" fillId="2" borderId="41" xfId="27" applyFont="1" applyFill="1" applyBorder="1" applyAlignment="1">
      <alignment horizontal="center" vertical="center" textRotation="90" readingOrder="1"/>
      <protection/>
    </xf>
    <xf numFmtId="0" fontId="9" fillId="2" borderId="43" xfId="27" applyFont="1" applyFill="1" applyBorder="1" applyAlignment="1">
      <alignment horizontal="center" vertical="center" textRotation="90" readingOrder="1"/>
      <protection/>
    </xf>
    <xf numFmtId="0" fontId="9" fillId="2" borderId="38" xfId="27" applyFont="1" applyFill="1" applyBorder="1" applyAlignment="1">
      <alignment horizontal="center" vertical="center" textRotation="90"/>
      <protection/>
    </xf>
    <xf numFmtId="0" fontId="9" fillId="2" borderId="46" xfId="27" applyFont="1" applyFill="1" applyBorder="1" applyAlignment="1">
      <alignment horizontal="center" vertical="center" textRotation="90"/>
      <protection/>
    </xf>
    <xf numFmtId="0" fontId="9" fillId="2" borderId="47" xfId="27" applyFont="1" applyFill="1" applyBorder="1" applyAlignment="1">
      <alignment horizontal="center" vertical="center" textRotation="90"/>
      <protection/>
    </xf>
    <xf numFmtId="0" fontId="9" fillId="2" borderId="40" xfId="27" applyFont="1" applyFill="1" applyBorder="1" applyAlignment="1">
      <alignment horizontal="center" vertical="center" textRotation="90" wrapText="1"/>
      <protection/>
    </xf>
    <xf numFmtId="0" fontId="9" fillId="2" borderId="41" xfId="27" applyFont="1" applyFill="1" applyBorder="1" applyAlignment="1">
      <alignment horizontal="center" vertical="center" textRotation="90" wrapText="1"/>
      <protection/>
    </xf>
    <xf numFmtId="0" fontId="9" fillId="2" borderId="43" xfId="27" applyFont="1" applyFill="1" applyBorder="1" applyAlignment="1">
      <alignment horizontal="center" vertical="center" textRotation="90" wrapText="1"/>
      <protection/>
    </xf>
    <xf numFmtId="0" fontId="9" fillId="2" borderId="40" xfId="27" applyFont="1" applyFill="1" applyBorder="1" applyAlignment="1">
      <alignment horizontal="center" vertical="center" textRotation="90" wrapText="1" readingOrder="1"/>
      <protection/>
    </xf>
    <xf numFmtId="0" fontId="9" fillId="2" borderId="41" xfId="27" applyFont="1" applyFill="1" applyBorder="1" applyAlignment="1">
      <alignment horizontal="center" vertical="center" textRotation="90" wrapText="1" readingOrder="1"/>
      <protection/>
    </xf>
    <xf numFmtId="0" fontId="9" fillId="2" borderId="43" xfId="27" applyFont="1" applyFill="1" applyBorder="1" applyAlignment="1">
      <alignment horizontal="center" vertical="center" textRotation="90" wrapText="1" readingOrder="1"/>
      <protection/>
    </xf>
    <xf numFmtId="0" fontId="9" fillId="2" borderId="48" xfId="0" applyFont="1" applyFill="1" applyBorder="1" applyAlignment="1">
      <alignment horizontal="center" vertical="center" textRotation="90" readingOrder="1"/>
    </xf>
    <xf numFmtId="0" fontId="9" fillId="2" borderId="6" xfId="0" applyFont="1" applyFill="1" applyBorder="1" applyAlignment="1">
      <alignment horizontal="center" vertical="center" textRotation="90" readingOrder="1"/>
    </xf>
    <xf numFmtId="0" fontId="9" fillId="2" borderId="7" xfId="0" applyFont="1" applyFill="1" applyBorder="1" applyAlignment="1">
      <alignment horizontal="center" vertical="center" textRotation="90" readingOrder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 2" xfId="22"/>
    <cellStyle name="Normal 3" xfId="23"/>
    <cellStyle name="Normal 5" xfId="24"/>
    <cellStyle name="Normal 6" xfId="25"/>
    <cellStyle name="Normal_page_48_49" xfId="26"/>
    <cellStyle name="Normal_page_50_5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U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6" customWidth="1"/>
    <col min="2" max="2" width="3.7109375" style="6" customWidth="1"/>
    <col min="3" max="3" width="14.421875" style="20" customWidth="1"/>
    <col min="4" max="16" width="6.28125" style="2" customWidth="1"/>
    <col min="17" max="21" width="9.140625" style="2" customWidth="1"/>
    <col min="22" max="16384" width="9.140625" style="3" customWidth="1"/>
  </cols>
  <sheetData>
    <row r="1" spans="1:3" ht="18.75">
      <c r="A1" s="5" t="s">
        <v>1</v>
      </c>
      <c r="B1" s="3"/>
      <c r="C1" s="18"/>
    </row>
    <row r="2" ht="12.75">
      <c r="A2" s="8" t="s">
        <v>2</v>
      </c>
    </row>
    <row r="3" spans="1:21" s="7" customFormat="1" ht="12.75" customHeight="1">
      <c r="A3" s="7" t="s">
        <v>39</v>
      </c>
      <c r="B3" s="16"/>
      <c r="C3" s="2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9.75" customHeight="1" thickBot="1">
      <c r="A4" s="10"/>
      <c r="B4" s="16"/>
      <c r="C4" s="2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4:16" ht="15" customHeight="1" thickBot="1">
      <c r="D5" s="120">
        <v>2007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4:16" ht="48" thickBot="1">
      <c r="D6" s="80" t="s">
        <v>20</v>
      </c>
      <c r="E6" s="82" t="s">
        <v>21</v>
      </c>
      <c r="F6" s="82" t="s">
        <v>22</v>
      </c>
      <c r="G6" s="82" t="s">
        <v>23</v>
      </c>
      <c r="H6" s="82" t="s">
        <v>24</v>
      </c>
      <c r="I6" s="82" t="s">
        <v>25</v>
      </c>
      <c r="J6" s="82" t="s">
        <v>26</v>
      </c>
      <c r="K6" s="82" t="s">
        <v>27</v>
      </c>
      <c r="L6" s="82" t="s">
        <v>28</v>
      </c>
      <c r="M6" s="82" t="s">
        <v>29</v>
      </c>
      <c r="N6" s="82" t="s">
        <v>30</v>
      </c>
      <c r="O6" s="81" t="s">
        <v>31</v>
      </c>
      <c r="P6" s="87" t="s">
        <v>32</v>
      </c>
    </row>
    <row r="7" spans="1:17" ht="13.5" thickBot="1">
      <c r="A7" s="118" t="s">
        <v>6</v>
      </c>
      <c r="B7" s="123" t="s">
        <v>5</v>
      </c>
      <c r="C7" s="23" t="s">
        <v>36</v>
      </c>
      <c r="D7" s="98">
        <f>SUM(D8:D16)</f>
        <v>3654</v>
      </c>
      <c r="E7" s="96">
        <f aca="true" t="shared" si="0" ref="E7:O7">SUM(E8:E16)</f>
        <v>4319</v>
      </c>
      <c r="F7" s="96">
        <f t="shared" si="0"/>
        <v>7049</v>
      </c>
      <c r="G7" s="96">
        <f t="shared" si="0"/>
        <v>5794</v>
      </c>
      <c r="H7" s="96">
        <f t="shared" si="0"/>
        <v>6536</v>
      </c>
      <c r="I7" s="96">
        <f t="shared" si="0"/>
        <v>5409</v>
      </c>
      <c r="J7" s="96">
        <f t="shared" si="0"/>
        <v>6449</v>
      </c>
      <c r="K7" s="96">
        <f t="shared" si="0"/>
        <v>7011</v>
      </c>
      <c r="L7" s="96">
        <f t="shared" si="0"/>
        <v>6527</v>
      </c>
      <c r="M7" s="96">
        <f t="shared" si="0"/>
        <v>6799</v>
      </c>
      <c r="N7" s="96">
        <f t="shared" si="0"/>
        <v>7400</v>
      </c>
      <c r="O7" s="97">
        <f t="shared" si="0"/>
        <v>10143</v>
      </c>
      <c r="P7" s="93">
        <f>SUM(D7:O7)</f>
        <v>77090</v>
      </c>
      <c r="Q7" s="92"/>
    </row>
    <row r="8" spans="1:16" s="11" customFormat="1" ht="12">
      <c r="A8" s="119"/>
      <c r="B8" s="124"/>
      <c r="C8" s="111" t="s">
        <v>18</v>
      </c>
      <c r="D8" s="70">
        <f>68+206+1+8+1</f>
        <v>284</v>
      </c>
      <c r="E8" s="58">
        <f>86+320+2+22+1</f>
        <v>431</v>
      </c>
      <c r="F8" s="58">
        <f>115+425+1+3+23+2</f>
        <v>569</v>
      </c>
      <c r="G8" s="58">
        <f>95+439+3+20+2</f>
        <v>559</v>
      </c>
      <c r="H8" s="58">
        <f>104+449+2+5+23</f>
        <v>583</v>
      </c>
      <c r="I8" s="58">
        <f>85+0+379+4+0+2+27+0+0+1</f>
        <v>498</v>
      </c>
      <c r="J8" s="58">
        <f>92+497+4+2+6+27</f>
        <v>628</v>
      </c>
      <c r="K8" s="58">
        <f>91+501+2+8+22+1</f>
        <v>625</v>
      </c>
      <c r="L8" s="58">
        <f>101+493+1+1+26+2</f>
        <v>624</v>
      </c>
      <c r="M8" s="58">
        <f>89+524+1+5+26+1</f>
        <v>646</v>
      </c>
      <c r="N8" s="58">
        <f>113+656+1+5+39+2</f>
        <v>816</v>
      </c>
      <c r="O8" s="59">
        <f>96+1068+11+3+5+57+3</f>
        <v>1243</v>
      </c>
      <c r="P8" s="38">
        <f aca="true" t="shared" si="1" ref="P8:P46">SUM(D8:O8)</f>
        <v>7506</v>
      </c>
    </row>
    <row r="9" spans="1:17" s="9" customFormat="1" ht="21">
      <c r="A9" s="119"/>
      <c r="B9" s="124"/>
      <c r="C9" s="112" t="s">
        <v>3</v>
      </c>
      <c r="D9" s="53">
        <f>119+739+5+20+1</f>
        <v>884</v>
      </c>
      <c r="E9" s="32">
        <f>111+971+2+0+2+33+1</f>
        <v>1120</v>
      </c>
      <c r="F9" s="32">
        <f>123+1284+5+0+2+39+2</f>
        <v>1455</v>
      </c>
      <c r="G9" s="32">
        <f>130+1316+4+1+40+6</f>
        <v>1497</v>
      </c>
      <c r="H9" s="32">
        <f>140+3+1601+6+1+3+69</f>
        <v>1823</v>
      </c>
      <c r="I9" s="32">
        <f>158+1+1218+8+2+6+49+1</f>
        <v>1443</v>
      </c>
      <c r="J9" s="32">
        <f>146+1408+9+1+3+67+3</f>
        <v>1637</v>
      </c>
      <c r="K9" s="32">
        <f>158+1625+7+1+3+54+3</f>
        <v>1851</v>
      </c>
      <c r="L9" s="32">
        <f>168+4+1481+2+2+1+64</f>
        <v>1722</v>
      </c>
      <c r="M9" s="32">
        <f>147+1310+2+0+2+48+1+2</f>
        <v>1512</v>
      </c>
      <c r="N9" s="32">
        <f>141+1+1711+4+3+5+71</f>
        <v>1936</v>
      </c>
      <c r="O9" s="33">
        <f>206+1+2798+8+2+9+91+1</f>
        <v>3116</v>
      </c>
      <c r="P9" s="29">
        <f t="shared" si="1"/>
        <v>19996</v>
      </c>
      <c r="Q9" s="117"/>
    </row>
    <row r="10" spans="1:16" s="9" customFormat="1" ht="12.75">
      <c r="A10" s="119"/>
      <c r="B10" s="124"/>
      <c r="C10" s="112" t="s">
        <v>4</v>
      </c>
      <c r="D10" s="53">
        <f>46+325+2+7+3</f>
        <v>383</v>
      </c>
      <c r="E10" s="32">
        <f>43+376+3+0+1+1</f>
        <v>424</v>
      </c>
      <c r="F10" s="32">
        <f>70+589+6+1+11+8</f>
        <v>685</v>
      </c>
      <c r="G10" s="32">
        <f>40+561+4+1+5+17</f>
        <v>628</v>
      </c>
      <c r="H10" s="32">
        <f>62+593+3+2+6+19</f>
        <v>685</v>
      </c>
      <c r="I10" s="32">
        <f>54+502+3+7+16</f>
        <v>582</v>
      </c>
      <c r="J10" s="32">
        <f>73+595+5+10+20</f>
        <v>703</v>
      </c>
      <c r="K10" s="32">
        <f>57+699+2+1+11+21</f>
        <v>791</v>
      </c>
      <c r="L10" s="32">
        <f>65+0+663+2+0+4+9</f>
        <v>743</v>
      </c>
      <c r="M10" s="32">
        <f>65+766+3+21</f>
        <v>855</v>
      </c>
      <c r="N10" s="32">
        <f>54+809+3+1+4+16</f>
        <v>887</v>
      </c>
      <c r="O10" s="33">
        <f>88+987+11+1+7+23+2</f>
        <v>1119</v>
      </c>
      <c r="P10" s="29">
        <f t="shared" si="1"/>
        <v>8485</v>
      </c>
    </row>
    <row r="11" spans="1:16" s="9" customFormat="1" ht="12.75">
      <c r="A11" s="119"/>
      <c r="B11" s="124"/>
      <c r="C11" s="113" t="s">
        <v>0</v>
      </c>
      <c r="D11" s="53">
        <f>55+394+1+14+1</f>
        <v>465</v>
      </c>
      <c r="E11" s="32">
        <f>555+5+24+3</f>
        <v>587</v>
      </c>
      <c r="F11" s="32">
        <f>75+731+8+1+23+4</f>
        <v>842</v>
      </c>
      <c r="G11" s="32">
        <f>72+717+2+20+1</f>
        <v>812</v>
      </c>
      <c r="H11" s="32">
        <f>77+841+10+0+2+22+5</f>
        <v>957</v>
      </c>
      <c r="I11" s="32">
        <f>75+708+9+1+5+36+1</f>
        <v>835</v>
      </c>
      <c r="J11" s="32">
        <f>97+779+5+5+24+3</f>
        <v>913</v>
      </c>
      <c r="K11" s="32">
        <f>92+783+8+6+31</f>
        <v>920</v>
      </c>
      <c r="L11" s="32">
        <f>66+729+3+1+1+27+1+1</f>
        <v>829</v>
      </c>
      <c r="M11" s="32">
        <f>77+979+3+1+39+3</f>
        <v>1102</v>
      </c>
      <c r="N11" s="32">
        <f>80+1+1005+6+1+2+25+1</f>
        <v>1121</v>
      </c>
      <c r="O11" s="33">
        <f>84+1410+17+2+7+40+2</f>
        <v>1562</v>
      </c>
      <c r="P11" s="29">
        <f t="shared" si="1"/>
        <v>10945</v>
      </c>
    </row>
    <row r="12" spans="1:16" s="9" customFormat="1" ht="12.75">
      <c r="A12" s="119"/>
      <c r="B12" s="124"/>
      <c r="C12" s="112" t="s">
        <v>37</v>
      </c>
      <c r="D12" s="53">
        <f>74+291+6</f>
        <v>371</v>
      </c>
      <c r="E12" s="32">
        <f>75+364+2</f>
        <v>441</v>
      </c>
      <c r="F12" s="32">
        <f>132+521+3+2+1</f>
        <v>659</v>
      </c>
      <c r="G12" s="32">
        <f>93+1+480+1+3+3</f>
        <v>581</v>
      </c>
      <c r="H12" s="32">
        <f>64+2+480+1+2+4</f>
        <v>553</v>
      </c>
      <c r="I12" s="32">
        <f>53+1+383+2</f>
        <v>439</v>
      </c>
      <c r="J12" s="32">
        <f>87+470+6+4+3</f>
        <v>570</v>
      </c>
      <c r="K12" s="32">
        <f>75+564+1+1+4</f>
        <v>645</v>
      </c>
      <c r="L12" s="32">
        <f>64+469+1+1+2</f>
        <v>537</v>
      </c>
      <c r="M12" s="32">
        <f>54+431+1+2+6</f>
        <v>494</v>
      </c>
      <c r="N12" s="32">
        <f>89+1+515+1+3+3</f>
        <v>612</v>
      </c>
      <c r="O12" s="33">
        <f>63+641+2+2</f>
        <v>708</v>
      </c>
      <c r="P12" s="29">
        <f t="shared" si="1"/>
        <v>6610</v>
      </c>
    </row>
    <row r="13" spans="1:16" s="9" customFormat="1" ht="12.75">
      <c r="A13" s="119"/>
      <c r="B13" s="124"/>
      <c r="C13" s="112" t="s">
        <v>38</v>
      </c>
      <c r="D13" s="53">
        <f>33+285+4</f>
        <v>322</v>
      </c>
      <c r="E13" s="32">
        <f>45+275+1+9+2+2</f>
        <v>334</v>
      </c>
      <c r="F13" s="32">
        <f>63+356+1+9+2</f>
        <v>431</v>
      </c>
      <c r="G13" s="32">
        <f>47+328+2+4+2+1</f>
        <v>384</v>
      </c>
      <c r="H13" s="32">
        <f>52+311+1+0+9+1</f>
        <v>374</v>
      </c>
      <c r="I13" s="32">
        <f>57+322+2+9+3</f>
        <v>393</v>
      </c>
      <c r="J13" s="32">
        <f>55+382+2+12+2+2</f>
        <v>455</v>
      </c>
      <c r="K13" s="32">
        <f>88+428+2+1+6+2+1</f>
        <v>528</v>
      </c>
      <c r="L13" s="32">
        <f>55+410+2+5</f>
        <v>472</v>
      </c>
      <c r="M13" s="32">
        <f>65+463+1+3</f>
        <v>532</v>
      </c>
      <c r="N13" s="32">
        <f>62+412+1+7+2+1</f>
        <v>485</v>
      </c>
      <c r="O13" s="33">
        <f>49+449+2+9+1</f>
        <v>510</v>
      </c>
      <c r="P13" s="29">
        <f t="shared" si="1"/>
        <v>5220</v>
      </c>
    </row>
    <row r="14" spans="1:16" s="9" customFormat="1" ht="12.75">
      <c r="A14" s="119"/>
      <c r="B14" s="124"/>
      <c r="C14" s="112" t="s">
        <v>19</v>
      </c>
      <c r="D14" s="53">
        <f>80+321+3+2</f>
        <v>406</v>
      </c>
      <c r="E14" s="32">
        <f>47+17+322+2</f>
        <v>388</v>
      </c>
      <c r="F14" s="32">
        <f>63+1404+2+1</f>
        <v>1470</v>
      </c>
      <c r="G14" s="32">
        <f>65+450+2+7+1</f>
        <v>525</v>
      </c>
      <c r="H14" s="32">
        <f>67+517+3+3+2</f>
        <v>592</v>
      </c>
      <c r="I14" s="32">
        <f>75+0+423+0+1+4+6+0+0+0</f>
        <v>509</v>
      </c>
      <c r="J14" s="32">
        <f>94+488+1+4+2</f>
        <v>589</v>
      </c>
      <c r="K14" s="32">
        <f>597+1+6</f>
        <v>604</v>
      </c>
      <c r="L14" s="32">
        <f>63+4+479+2+2+2</f>
        <v>552</v>
      </c>
      <c r="M14" s="32">
        <f>77+1+561+1+2+1</f>
        <v>643</v>
      </c>
      <c r="N14" s="32">
        <f>72+2+496+1+2</f>
        <v>573</v>
      </c>
      <c r="O14" s="33">
        <f>100+1+601+5+2+2</f>
        <v>711</v>
      </c>
      <c r="P14" s="29">
        <f t="shared" si="1"/>
        <v>7562</v>
      </c>
    </row>
    <row r="15" spans="1:16" s="9" customFormat="1" ht="12.75">
      <c r="A15" s="119"/>
      <c r="B15" s="124"/>
      <c r="C15" s="112" t="s">
        <v>34</v>
      </c>
      <c r="D15" s="53">
        <f>37+272+1</f>
        <v>310</v>
      </c>
      <c r="E15" s="32">
        <f>36+309+1</f>
        <v>346</v>
      </c>
      <c r="F15" s="32">
        <f>58+484+1+2+2</f>
        <v>547</v>
      </c>
      <c r="G15" s="32">
        <f>44+441+2+1+8</f>
        <v>496</v>
      </c>
      <c r="H15" s="32">
        <f>56+515+5</f>
        <v>576</v>
      </c>
      <c r="I15" s="32">
        <f>40+361+1+1+5+7</f>
        <v>415</v>
      </c>
      <c r="J15" s="32">
        <f>34+554+2</f>
        <v>590</v>
      </c>
      <c r="K15" s="32">
        <f>51+585+1+2+14</f>
        <v>653</v>
      </c>
      <c r="L15" s="32">
        <f>68+504+1+1+0+4</f>
        <v>578</v>
      </c>
      <c r="M15" s="32">
        <f>68+512+8</f>
        <v>588</v>
      </c>
      <c r="N15" s="32">
        <f>53+532+1+4</f>
        <v>590</v>
      </c>
      <c r="O15" s="33">
        <f>71+670+14+6</f>
        <v>761</v>
      </c>
      <c r="P15" s="29">
        <f t="shared" si="1"/>
        <v>6450</v>
      </c>
    </row>
    <row r="16" spans="1:16" s="9" customFormat="1" ht="13.5" thickBot="1">
      <c r="A16" s="119"/>
      <c r="B16" s="124"/>
      <c r="C16" s="114" t="s">
        <v>35</v>
      </c>
      <c r="D16" s="71">
        <f>32+189+8</f>
        <v>229</v>
      </c>
      <c r="E16" s="35">
        <f>39+209</f>
        <v>248</v>
      </c>
      <c r="F16" s="35">
        <f>41+347+3</f>
        <v>391</v>
      </c>
      <c r="G16" s="35">
        <f>36+274+1+1</f>
        <v>312</v>
      </c>
      <c r="H16" s="35">
        <f>45+346+1+1</f>
        <v>393</v>
      </c>
      <c r="I16" s="35">
        <f>35+0+256+3+1</f>
        <v>295</v>
      </c>
      <c r="J16" s="35">
        <f>42+321+1</f>
        <v>364</v>
      </c>
      <c r="K16" s="35">
        <f>40+353+1</f>
        <v>394</v>
      </c>
      <c r="L16" s="35">
        <f>45+423+1+1</f>
        <v>470</v>
      </c>
      <c r="M16" s="35">
        <f>62+360+1+1+3</f>
        <v>427</v>
      </c>
      <c r="N16" s="35">
        <f>48+331+1</f>
        <v>380</v>
      </c>
      <c r="O16" s="36">
        <f>63+349+1</f>
        <v>413</v>
      </c>
      <c r="P16" s="37">
        <f t="shared" si="1"/>
        <v>4316</v>
      </c>
    </row>
    <row r="17" spans="1:16" s="9" customFormat="1" ht="21.75" thickBot="1">
      <c r="A17" s="119"/>
      <c r="B17" s="124"/>
      <c r="C17" s="100" t="s">
        <v>45</v>
      </c>
      <c r="D17" s="84">
        <f>SUM(D18:D26)</f>
        <v>206859</v>
      </c>
      <c r="E17" s="83">
        <f aca="true" t="shared" si="2" ref="E17:O17">SUM(E18:E26)</f>
        <v>266877</v>
      </c>
      <c r="F17" s="83">
        <f t="shared" si="2"/>
        <v>384332</v>
      </c>
      <c r="G17" s="83">
        <f t="shared" si="2"/>
        <v>397722</v>
      </c>
      <c r="H17" s="83">
        <f t="shared" si="2"/>
        <v>482189</v>
      </c>
      <c r="I17" s="83">
        <f t="shared" si="2"/>
        <v>434400</v>
      </c>
      <c r="J17" s="83">
        <f t="shared" si="2"/>
        <v>521347</v>
      </c>
      <c r="K17" s="83">
        <f t="shared" si="2"/>
        <v>535927</v>
      </c>
      <c r="L17" s="83">
        <f t="shared" si="2"/>
        <v>485403</v>
      </c>
      <c r="M17" s="83">
        <f t="shared" si="2"/>
        <v>997033</v>
      </c>
      <c r="N17" s="83">
        <f t="shared" si="2"/>
        <v>683221</v>
      </c>
      <c r="O17" s="85">
        <f t="shared" si="2"/>
        <v>898250</v>
      </c>
      <c r="P17" s="93">
        <f t="shared" si="1"/>
        <v>6293560</v>
      </c>
    </row>
    <row r="18" spans="1:16" s="9" customFormat="1" ht="12.75">
      <c r="A18" s="119"/>
      <c r="B18" s="124"/>
      <c r="C18" s="111" t="s">
        <v>18</v>
      </c>
      <c r="D18" s="57">
        <v>50424</v>
      </c>
      <c r="E18" s="58">
        <v>64019</v>
      </c>
      <c r="F18" s="58">
        <v>103357</v>
      </c>
      <c r="G18" s="58">
        <v>121107</v>
      </c>
      <c r="H18" s="58">
        <v>138113</v>
      </c>
      <c r="I18" s="58">
        <v>151024</v>
      </c>
      <c r="J18" s="58">
        <v>202837</v>
      </c>
      <c r="K18" s="58">
        <v>175221</v>
      </c>
      <c r="L18" s="58">
        <v>145885</v>
      </c>
      <c r="M18" s="58">
        <v>617544</v>
      </c>
      <c r="N18" s="58">
        <v>256386</v>
      </c>
      <c r="O18" s="59">
        <v>328516</v>
      </c>
      <c r="P18" s="38">
        <f t="shared" si="1"/>
        <v>2354433</v>
      </c>
    </row>
    <row r="19" spans="1:16" s="9" customFormat="1" ht="21">
      <c r="A19" s="119"/>
      <c r="B19" s="124"/>
      <c r="C19" s="112" t="s">
        <v>3</v>
      </c>
      <c r="D19" s="31">
        <v>47762</v>
      </c>
      <c r="E19" s="32">
        <v>79188</v>
      </c>
      <c r="F19" s="32">
        <v>100577</v>
      </c>
      <c r="G19" s="32">
        <v>111964</v>
      </c>
      <c r="H19" s="32">
        <v>123610</v>
      </c>
      <c r="I19" s="32">
        <v>104901</v>
      </c>
      <c r="J19" s="32">
        <v>113362</v>
      </c>
      <c r="K19" s="32">
        <v>121494</v>
      </c>
      <c r="L19" s="32">
        <v>119514</v>
      </c>
      <c r="M19" s="32">
        <v>112202</v>
      </c>
      <c r="N19" s="32">
        <v>158918</v>
      </c>
      <c r="O19" s="33">
        <v>194991</v>
      </c>
      <c r="P19" s="29">
        <f t="shared" si="1"/>
        <v>1388483</v>
      </c>
    </row>
    <row r="20" spans="1:16" s="9" customFormat="1" ht="12.75">
      <c r="A20" s="119"/>
      <c r="B20" s="124"/>
      <c r="C20" s="112" t="s">
        <v>4</v>
      </c>
      <c r="D20" s="31">
        <v>24689</v>
      </c>
      <c r="E20" s="32">
        <v>23190</v>
      </c>
      <c r="F20" s="32">
        <v>35948</v>
      </c>
      <c r="G20" s="32">
        <v>39224</v>
      </c>
      <c r="H20" s="32">
        <v>42434</v>
      </c>
      <c r="I20" s="32">
        <v>43675</v>
      </c>
      <c r="J20" s="32">
        <v>46131</v>
      </c>
      <c r="K20" s="32">
        <v>57662</v>
      </c>
      <c r="L20" s="32">
        <v>46750</v>
      </c>
      <c r="M20" s="32">
        <v>58216</v>
      </c>
      <c r="N20" s="32">
        <v>68576</v>
      </c>
      <c r="O20" s="33">
        <v>100621</v>
      </c>
      <c r="P20" s="29">
        <f t="shared" si="1"/>
        <v>587116</v>
      </c>
    </row>
    <row r="21" spans="1:16" ht="12.75">
      <c r="A21" s="119"/>
      <c r="B21" s="124"/>
      <c r="C21" s="113" t="s">
        <v>0</v>
      </c>
      <c r="D21" s="34">
        <v>39324</v>
      </c>
      <c r="E21" s="60">
        <v>50218</v>
      </c>
      <c r="F21" s="60">
        <v>69609</v>
      </c>
      <c r="G21" s="60">
        <v>67392</v>
      </c>
      <c r="H21" s="60">
        <v>96497</v>
      </c>
      <c r="I21" s="60">
        <v>69296</v>
      </c>
      <c r="J21" s="60">
        <v>87265</v>
      </c>
      <c r="K21" s="60">
        <v>71885</v>
      </c>
      <c r="L21" s="60">
        <v>72276</v>
      </c>
      <c r="M21" s="60">
        <v>119470</v>
      </c>
      <c r="N21" s="60">
        <v>106365</v>
      </c>
      <c r="O21" s="61">
        <v>167167</v>
      </c>
      <c r="P21" s="29">
        <f t="shared" si="1"/>
        <v>1016764</v>
      </c>
    </row>
    <row r="22" spans="1:16" ht="12.75">
      <c r="A22" s="119"/>
      <c r="B22" s="124"/>
      <c r="C22" s="112" t="s">
        <v>37</v>
      </c>
      <c r="D22" s="34">
        <v>12636</v>
      </c>
      <c r="E22" s="60">
        <v>20218</v>
      </c>
      <c r="F22" s="60">
        <v>24444</v>
      </c>
      <c r="G22" s="60">
        <v>17512</v>
      </c>
      <c r="H22" s="60">
        <v>22543</v>
      </c>
      <c r="I22" s="60">
        <v>19946</v>
      </c>
      <c r="J22" s="60">
        <v>20017</v>
      </c>
      <c r="K22" s="60">
        <v>32909</v>
      </c>
      <c r="L22" s="60">
        <v>24676</v>
      </c>
      <c r="M22" s="60">
        <v>20543</v>
      </c>
      <c r="N22" s="60">
        <v>24975</v>
      </c>
      <c r="O22" s="61">
        <v>28602</v>
      </c>
      <c r="P22" s="29">
        <f t="shared" si="1"/>
        <v>269021</v>
      </c>
    </row>
    <row r="23" spans="1:16" ht="12.75">
      <c r="A23" s="119"/>
      <c r="B23" s="124"/>
      <c r="C23" s="112" t="s">
        <v>38</v>
      </c>
      <c r="D23" s="34">
        <v>5490</v>
      </c>
      <c r="E23" s="60">
        <v>6900</v>
      </c>
      <c r="F23" s="60">
        <v>9437</v>
      </c>
      <c r="G23" s="60">
        <v>7751</v>
      </c>
      <c r="H23" s="60">
        <v>11307</v>
      </c>
      <c r="I23" s="60">
        <v>9504</v>
      </c>
      <c r="J23" s="60">
        <v>11840</v>
      </c>
      <c r="K23" s="60">
        <v>13280</v>
      </c>
      <c r="L23" s="60">
        <v>12441</v>
      </c>
      <c r="M23" s="60">
        <v>12381</v>
      </c>
      <c r="N23" s="60">
        <v>14806</v>
      </c>
      <c r="O23" s="61">
        <v>14341</v>
      </c>
      <c r="P23" s="29">
        <f t="shared" si="1"/>
        <v>129478</v>
      </c>
    </row>
    <row r="24" spans="1:16" ht="12.75">
      <c r="A24" s="119"/>
      <c r="B24" s="124"/>
      <c r="C24" s="112" t="s">
        <v>19</v>
      </c>
      <c r="D24" s="34">
        <v>11100</v>
      </c>
      <c r="E24" s="60">
        <v>7936</v>
      </c>
      <c r="F24" s="60">
        <v>10150</v>
      </c>
      <c r="G24" s="60">
        <v>11735</v>
      </c>
      <c r="H24" s="60">
        <v>14359</v>
      </c>
      <c r="I24" s="60">
        <v>10796</v>
      </c>
      <c r="J24" s="60">
        <v>12515</v>
      </c>
      <c r="K24" s="60">
        <v>23554</v>
      </c>
      <c r="L24" s="60">
        <v>14709</v>
      </c>
      <c r="M24" s="60">
        <v>17834</v>
      </c>
      <c r="N24" s="60">
        <v>21197</v>
      </c>
      <c r="O24" s="61">
        <v>22077</v>
      </c>
      <c r="P24" s="29">
        <f t="shared" si="1"/>
        <v>177962</v>
      </c>
    </row>
    <row r="25" spans="1:16" ht="12.75">
      <c r="A25" s="119"/>
      <c r="B25" s="124"/>
      <c r="C25" s="112" t="s">
        <v>34</v>
      </c>
      <c r="D25" s="34">
        <v>12008</v>
      </c>
      <c r="E25" s="60">
        <v>10191</v>
      </c>
      <c r="F25" s="60">
        <v>22939</v>
      </c>
      <c r="G25" s="60">
        <v>14860</v>
      </c>
      <c r="H25" s="60">
        <v>24158</v>
      </c>
      <c r="I25" s="60">
        <v>18466</v>
      </c>
      <c r="J25" s="60">
        <v>20407</v>
      </c>
      <c r="K25" s="60">
        <v>29396</v>
      </c>
      <c r="L25" s="60">
        <v>37344</v>
      </c>
      <c r="M25" s="60">
        <v>28946</v>
      </c>
      <c r="N25" s="60">
        <v>23123</v>
      </c>
      <c r="O25" s="61">
        <v>31691</v>
      </c>
      <c r="P25" s="29">
        <f t="shared" si="1"/>
        <v>273529</v>
      </c>
    </row>
    <row r="26" spans="1:16" ht="13.5" thickBot="1">
      <c r="A26" s="119"/>
      <c r="B26" s="125"/>
      <c r="C26" s="114" t="s">
        <v>35</v>
      </c>
      <c r="D26" s="86">
        <v>3426</v>
      </c>
      <c r="E26" s="89">
        <v>5017</v>
      </c>
      <c r="F26" s="89">
        <v>7871</v>
      </c>
      <c r="G26" s="89">
        <v>6177</v>
      </c>
      <c r="H26" s="89">
        <v>9168</v>
      </c>
      <c r="I26" s="89">
        <v>6792</v>
      </c>
      <c r="J26" s="89">
        <v>6973</v>
      </c>
      <c r="K26" s="89">
        <v>10526</v>
      </c>
      <c r="L26" s="89">
        <v>11808</v>
      </c>
      <c r="M26" s="89">
        <v>9897</v>
      </c>
      <c r="N26" s="89">
        <v>8875</v>
      </c>
      <c r="O26" s="94">
        <v>10244</v>
      </c>
      <c r="P26" s="37">
        <f t="shared" si="1"/>
        <v>96774</v>
      </c>
    </row>
    <row r="27" spans="1:16" ht="13.5" thickBot="1">
      <c r="A27" s="119"/>
      <c r="B27" s="130" t="s">
        <v>44</v>
      </c>
      <c r="C27" s="23" t="s">
        <v>36</v>
      </c>
      <c r="D27" s="95">
        <f>SUM(D28:D36)</f>
        <v>498</v>
      </c>
      <c r="E27" s="96">
        <f aca="true" t="shared" si="3" ref="E27:O27">SUM(E28:E36)</f>
        <v>592</v>
      </c>
      <c r="F27" s="96">
        <f t="shared" si="3"/>
        <v>687</v>
      </c>
      <c r="G27" s="96">
        <f t="shared" si="3"/>
        <v>613</v>
      </c>
      <c r="H27" s="96">
        <f t="shared" si="3"/>
        <v>850</v>
      </c>
      <c r="I27" s="96">
        <f t="shared" si="3"/>
        <v>716</v>
      </c>
      <c r="J27" s="96">
        <f t="shared" si="3"/>
        <v>871</v>
      </c>
      <c r="K27" s="96">
        <f t="shared" si="3"/>
        <v>919</v>
      </c>
      <c r="L27" s="96">
        <f t="shared" si="3"/>
        <v>736</v>
      </c>
      <c r="M27" s="96">
        <f t="shared" si="3"/>
        <v>985</v>
      </c>
      <c r="N27" s="96">
        <f t="shared" si="3"/>
        <v>1054</v>
      </c>
      <c r="O27" s="97">
        <f t="shared" si="3"/>
        <v>952</v>
      </c>
      <c r="P27" s="93">
        <f t="shared" si="1"/>
        <v>9473</v>
      </c>
    </row>
    <row r="28" spans="1:16" ht="12.75">
      <c r="A28" s="119"/>
      <c r="B28" s="131"/>
      <c r="C28" s="111" t="s">
        <v>18</v>
      </c>
      <c r="D28" s="65">
        <v>44</v>
      </c>
      <c r="E28" s="66">
        <v>38</v>
      </c>
      <c r="F28" s="66">
        <v>57</v>
      </c>
      <c r="G28" s="66">
        <v>54</v>
      </c>
      <c r="H28" s="66">
        <v>52</v>
      </c>
      <c r="I28" s="66">
        <v>49</v>
      </c>
      <c r="J28" s="66">
        <v>64</v>
      </c>
      <c r="K28" s="66">
        <v>58</v>
      </c>
      <c r="L28" s="66">
        <v>61</v>
      </c>
      <c r="M28" s="66">
        <v>58</v>
      </c>
      <c r="N28" s="66">
        <v>79</v>
      </c>
      <c r="O28" s="67">
        <v>79</v>
      </c>
      <c r="P28" s="38">
        <f t="shared" si="1"/>
        <v>693</v>
      </c>
    </row>
    <row r="29" spans="1:16" ht="21">
      <c r="A29" s="119"/>
      <c r="B29" s="131"/>
      <c r="C29" s="112" t="s">
        <v>3</v>
      </c>
      <c r="D29" s="34">
        <v>122</v>
      </c>
      <c r="E29" s="60">
        <v>164</v>
      </c>
      <c r="F29" s="60">
        <v>181</v>
      </c>
      <c r="G29" s="60">
        <v>169</v>
      </c>
      <c r="H29" s="60">
        <v>278</v>
      </c>
      <c r="I29" s="60">
        <v>209</v>
      </c>
      <c r="J29" s="60">
        <v>261</v>
      </c>
      <c r="K29" s="60">
        <v>294</v>
      </c>
      <c r="L29" s="60">
        <v>230</v>
      </c>
      <c r="M29" s="60">
        <v>270</v>
      </c>
      <c r="N29" s="60">
        <v>271</v>
      </c>
      <c r="O29" s="61">
        <v>289</v>
      </c>
      <c r="P29" s="29">
        <f t="shared" si="1"/>
        <v>2738</v>
      </c>
    </row>
    <row r="30" spans="1:16" ht="12.75">
      <c r="A30" s="119"/>
      <c r="B30" s="131"/>
      <c r="C30" s="112" t="s">
        <v>4</v>
      </c>
      <c r="D30" s="34">
        <v>85</v>
      </c>
      <c r="E30" s="60">
        <v>88</v>
      </c>
      <c r="F30" s="60">
        <v>97</v>
      </c>
      <c r="G30" s="60">
        <v>72</v>
      </c>
      <c r="H30" s="60">
        <v>116</v>
      </c>
      <c r="I30" s="60">
        <v>131</v>
      </c>
      <c r="J30" s="60">
        <v>138</v>
      </c>
      <c r="K30" s="60">
        <v>153</v>
      </c>
      <c r="L30" s="60">
        <v>121</v>
      </c>
      <c r="M30" s="60">
        <v>185</v>
      </c>
      <c r="N30" s="60">
        <v>192</v>
      </c>
      <c r="O30" s="61">
        <v>153</v>
      </c>
      <c r="P30" s="29">
        <f t="shared" si="1"/>
        <v>1531</v>
      </c>
    </row>
    <row r="31" spans="1:16" ht="12.75">
      <c r="A31" s="119"/>
      <c r="B31" s="131"/>
      <c r="C31" s="113" t="s">
        <v>0</v>
      </c>
      <c r="D31" s="34">
        <v>138</v>
      </c>
      <c r="E31" s="60">
        <v>178</v>
      </c>
      <c r="F31" s="60">
        <v>199</v>
      </c>
      <c r="G31" s="60">
        <v>190</v>
      </c>
      <c r="H31" s="60">
        <v>252</v>
      </c>
      <c r="I31" s="60">
        <v>192</v>
      </c>
      <c r="J31" s="60">
        <v>244</v>
      </c>
      <c r="K31" s="60">
        <v>232</v>
      </c>
      <c r="L31" s="60">
        <v>193</v>
      </c>
      <c r="M31" s="60">
        <v>277</v>
      </c>
      <c r="N31" s="60">
        <v>322</v>
      </c>
      <c r="O31" s="61">
        <v>287</v>
      </c>
      <c r="P31" s="29">
        <f t="shared" si="1"/>
        <v>2704</v>
      </c>
    </row>
    <row r="32" spans="1:16" ht="12.75">
      <c r="A32" s="119"/>
      <c r="B32" s="131"/>
      <c r="C32" s="112" t="s">
        <v>37</v>
      </c>
      <c r="D32" s="34">
        <v>31</v>
      </c>
      <c r="E32" s="60">
        <v>27</v>
      </c>
      <c r="F32" s="60">
        <v>39</v>
      </c>
      <c r="G32" s="60">
        <v>30</v>
      </c>
      <c r="H32" s="60">
        <v>48</v>
      </c>
      <c r="I32" s="60">
        <v>35</v>
      </c>
      <c r="J32" s="60">
        <v>57</v>
      </c>
      <c r="K32" s="60">
        <v>47</v>
      </c>
      <c r="L32" s="60">
        <v>38</v>
      </c>
      <c r="M32" s="60">
        <v>53</v>
      </c>
      <c r="N32" s="60">
        <v>55</v>
      </c>
      <c r="O32" s="61">
        <v>37</v>
      </c>
      <c r="P32" s="29">
        <f t="shared" si="1"/>
        <v>497</v>
      </c>
    </row>
    <row r="33" spans="1:16" ht="12.75">
      <c r="A33" s="119"/>
      <c r="B33" s="131"/>
      <c r="C33" s="112" t="s">
        <v>38</v>
      </c>
      <c r="D33" s="34">
        <v>25</v>
      </c>
      <c r="E33" s="60">
        <v>31</v>
      </c>
      <c r="F33" s="60">
        <v>35</v>
      </c>
      <c r="G33" s="60">
        <v>40</v>
      </c>
      <c r="H33" s="60">
        <v>35</v>
      </c>
      <c r="I33" s="60">
        <v>30</v>
      </c>
      <c r="J33" s="60">
        <v>39</v>
      </c>
      <c r="K33" s="60">
        <v>46</v>
      </c>
      <c r="L33" s="60">
        <v>29</v>
      </c>
      <c r="M33" s="60">
        <v>45</v>
      </c>
      <c r="N33" s="60">
        <v>46</v>
      </c>
      <c r="O33" s="61">
        <v>41</v>
      </c>
      <c r="P33" s="29">
        <f t="shared" si="1"/>
        <v>442</v>
      </c>
    </row>
    <row r="34" spans="1:16" ht="12.75">
      <c r="A34" s="119"/>
      <c r="B34" s="131"/>
      <c r="C34" s="112" t="s">
        <v>19</v>
      </c>
      <c r="D34" s="34">
        <v>30</v>
      </c>
      <c r="E34" s="60">
        <v>26</v>
      </c>
      <c r="F34" s="60">
        <v>32</v>
      </c>
      <c r="G34" s="60">
        <v>21</v>
      </c>
      <c r="H34" s="60">
        <v>33</v>
      </c>
      <c r="I34" s="60">
        <v>32</v>
      </c>
      <c r="J34" s="60">
        <v>23</v>
      </c>
      <c r="K34" s="60">
        <v>28</v>
      </c>
      <c r="L34" s="60">
        <v>33</v>
      </c>
      <c r="M34" s="60">
        <v>36</v>
      </c>
      <c r="N34" s="60">
        <v>35</v>
      </c>
      <c r="O34" s="61">
        <v>16</v>
      </c>
      <c r="P34" s="29">
        <f t="shared" si="1"/>
        <v>345</v>
      </c>
    </row>
    <row r="35" spans="1:16" ht="12.75">
      <c r="A35" s="119"/>
      <c r="B35" s="131"/>
      <c r="C35" s="112" t="s">
        <v>34</v>
      </c>
      <c r="D35" s="34">
        <v>18</v>
      </c>
      <c r="E35" s="60">
        <v>30</v>
      </c>
      <c r="F35" s="60">
        <v>31</v>
      </c>
      <c r="G35" s="60">
        <v>28</v>
      </c>
      <c r="H35" s="60">
        <v>27</v>
      </c>
      <c r="I35" s="60">
        <v>28</v>
      </c>
      <c r="J35" s="60">
        <v>32</v>
      </c>
      <c r="K35" s="60">
        <v>38</v>
      </c>
      <c r="L35" s="60">
        <v>17</v>
      </c>
      <c r="M35" s="60">
        <v>45</v>
      </c>
      <c r="N35" s="60">
        <v>36</v>
      </c>
      <c r="O35" s="61">
        <v>32</v>
      </c>
      <c r="P35" s="29">
        <f t="shared" si="1"/>
        <v>362</v>
      </c>
    </row>
    <row r="36" spans="1:16" ht="13.5" thickBot="1">
      <c r="A36" s="119"/>
      <c r="B36" s="131"/>
      <c r="C36" s="114" t="s">
        <v>35</v>
      </c>
      <c r="D36" s="86">
        <v>5</v>
      </c>
      <c r="E36" s="89">
        <v>10</v>
      </c>
      <c r="F36" s="89">
        <v>16</v>
      </c>
      <c r="G36" s="89">
        <v>9</v>
      </c>
      <c r="H36" s="89">
        <v>9</v>
      </c>
      <c r="I36" s="89">
        <v>10</v>
      </c>
      <c r="J36" s="89">
        <v>13</v>
      </c>
      <c r="K36" s="89">
        <v>23</v>
      </c>
      <c r="L36" s="89">
        <v>14</v>
      </c>
      <c r="M36" s="89">
        <v>16</v>
      </c>
      <c r="N36" s="89">
        <v>18</v>
      </c>
      <c r="O36" s="94">
        <v>18</v>
      </c>
      <c r="P36" s="37">
        <f t="shared" si="1"/>
        <v>161</v>
      </c>
    </row>
    <row r="37" spans="1:16" ht="21.75" thickBot="1">
      <c r="A37" s="119"/>
      <c r="B37" s="131"/>
      <c r="C37" s="100" t="s">
        <v>45</v>
      </c>
      <c r="D37" s="95">
        <f>SUM(D38:D46)</f>
        <v>88489</v>
      </c>
      <c r="E37" s="96">
        <f aca="true" t="shared" si="4" ref="E37:O37">SUM(E38:E46)</f>
        <v>88641</v>
      </c>
      <c r="F37" s="96">
        <f t="shared" si="4"/>
        <v>90497</v>
      </c>
      <c r="G37" s="96">
        <f t="shared" si="4"/>
        <v>91860.5</v>
      </c>
      <c r="H37" s="96">
        <f t="shared" si="4"/>
        <v>268657</v>
      </c>
      <c r="I37" s="96">
        <f t="shared" si="4"/>
        <v>103599</v>
      </c>
      <c r="J37" s="96">
        <f t="shared" si="4"/>
        <v>225093</v>
      </c>
      <c r="K37" s="96">
        <f t="shared" si="4"/>
        <v>138164</v>
      </c>
      <c r="L37" s="96">
        <f t="shared" si="4"/>
        <v>104439</v>
      </c>
      <c r="M37" s="96">
        <f t="shared" si="4"/>
        <v>137106</v>
      </c>
      <c r="N37" s="96">
        <f t="shared" si="4"/>
        <v>204909</v>
      </c>
      <c r="O37" s="97">
        <f t="shared" si="4"/>
        <v>196739</v>
      </c>
      <c r="P37" s="93">
        <f t="shared" si="1"/>
        <v>1738193.5</v>
      </c>
    </row>
    <row r="38" spans="1:16" ht="12.75">
      <c r="A38" s="119"/>
      <c r="B38" s="131"/>
      <c r="C38" s="111" t="s">
        <v>18</v>
      </c>
      <c r="D38" s="65">
        <v>16705</v>
      </c>
      <c r="E38" s="66">
        <v>31279</v>
      </c>
      <c r="F38" s="66">
        <v>18463</v>
      </c>
      <c r="G38" s="66">
        <v>17064</v>
      </c>
      <c r="H38" s="66">
        <v>10269</v>
      </c>
      <c r="I38" s="66">
        <v>11604</v>
      </c>
      <c r="J38" s="66">
        <v>34099</v>
      </c>
      <c r="K38" s="66">
        <v>39031</v>
      </c>
      <c r="L38" s="66">
        <v>20770</v>
      </c>
      <c r="M38" s="66">
        <v>35681</v>
      </c>
      <c r="N38" s="66">
        <v>77713</v>
      </c>
      <c r="O38" s="67">
        <v>70244</v>
      </c>
      <c r="P38" s="38">
        <f t="shared" si="1"/>
        <v>382922</v>
      </c>
    </row>
    <row r="39" spans="1:16" ht="21">
      <c r="A39" s="119"/>
      <c r="B39" s="131"/>
      <c r="C39" s="112" t="s">
        <v>3</v>
      </c>
      <c r="D39" s="34">
        <v>17778</v>
      </c>
      <c r="E39" s="60">
        <v>19577</v>
      </c>
      <c r="F39" s="60">
        <v>19568</v>
      </c>
      <c r="G39" s="60">
        <v>24521</v>
      </c>
      <c r="H39" s="60">
        <v>39498</v>
      </c>
      <c r="I39" s="60">
        <v>26032</v>
      </c>
      <c r="J39" s="60">
        <v>26294</v>
      </c>
      <c r="K39" s="60">
        <v>41429</v>
      </c>
      <c r="L39" s="60">
        <v>32838</v>
      </c>
      <c r="M39" s="60">
        <v>31781</v>
      </c>
      <c r="N39" s="60">
        <v>59673</v>
      </c>
      <c r="O39" s="61">
        <v>45875</v>
      </c>
      <c r="P39" s="29">
        <f t="shared" si="1"/>
        <v>384864</v>
      </c>
    </row>
    <row r="40" spans="1:16" ht="12.75">
      <c r="A40" s="119"/>
      <c r="B40" s="131"/>
      <c r="C40" s="112" t="s">
        <v>4</v>
      </c>
      <c r="D40" s="34">
        <v>14341</v>
      </c>
      <c r="E40" s="60">
        <v>9518</v>
      </c>
      <c r="F40" s="60">
        <v>11886</v>
      </c>
      <c r="G40" s="60">
        <v>10030</v>
      </c>
      <c r="H40" s="60">
        <v>14904</v>
      </c>
      <c r="I40" s="60">
        <v>19994</v>
      </c>
      <c r="J40" s="60">
        <v>23834</v>
      </c>
      <c r="K40" s="60">
        <v>20158</v>
      </c>
      <c r="L40" s="60">
        <v>14428</v>
      </c>
      <c r="M40" s="60">
        <v>25945</v>
      </c>
      <c r="N40" s="60">
        <v>19402</v>
      </c>
      <c r="O40" s="61">
        <v>20092</v>
      </c>
      <c r="P40" s="29">
        <f t="shared" si="1"/>
        <v>204532</v>
      </c>
    </row>
    <row r="41" spans="1:16" ht="12.75">
      <c r="A41" s="119"/>
      <c r="B41" s="131"/>
      <c r="C41" s="113" t="s">
        <v>0</v>
      </c>
      <c r="D41" s="34">
        <v>23817</v>
      </c>
      <c r="E41" s="60">
        <v>17070</v>
      </c>
      <c r="F41" s="60">
        <v>23028</v>
      </c>
      <c r="G41" s="60">
        <v>21550</v>
      </c>
      <c r="H41" s="60">
        <v>23529</v>
      </c>
      <c r="I41" s="60">
        <v>22243</v>
      </c>
      <c r="J41" s="60">
        <v>24307</v>
      </c>
      <c r="K41" s="60">
        <v>19877</v>
      </c>
      <c r="L41" s="60">
        <v>20046</v>
      </c>
      <c r="M41" s="60">
        <v>25620</v>
      </c>
      <c r="N41" s="60">
        <v>23898</v>
      </c>
      <c r="O41" s="61">
        <v>34916</v>
      </c>
      <c r="P41" s="29">
        <f t="shared" si="1"/>
        <v>279901</v>
      </c>
    </row>
    <row r="42" spans="1:16" ht="12.75">
      <c r="A42" s="119"/>
      <c r="B42" s="131"/>
      <c r="C42" s="112" t="s">
        <v>37</v>
      </c>
      <c r="D42" s="34">
        <v>4107</v>
      </c>
      <c r="E42" s="60">
        <v>2624</v>
      </c>
      <c r="F42" s="60">
        <v>4509</v>
      </c>
      <c r="G42" s="60">
        <v>11671</v>
      </c>
      <c r="H42" s="60">
        <v>172027</v>
      </c>
      <c r="I42" s="60">
        <v>4141</v>
      </c>
      <c r="J42" s="60">
        <v>108466</v>
      </c>
      <c r="K42" s="60">
        <v>3817</v>
      </c>
      <c r="L42" s="60">
        <v>6796</v>
      </c>
      <c r="M42" s="60">
        <v>4266</v>
      </c>
      <c r="N42" s="60">
        <v>8211</v>
      </c>
      <c r="O42" s="61">
        <v>9433</v>
      </c>
      <c r="P42" s="29">
        <f t="shared" si="1"/>
        <v>340068</v>
      </c>
    </row>
    <row r="43" spans="1:16" ht="12.75">
      <c r="A43" s="119"/>
      <c r="B43" s="131"/>
      <c r="C43" s="112" t="s">
        <v>38</v>
      </c>
      <c r="D43" s="34">
        <v>360</v>
      </c>
      <c r="E43" s="60">
        <v>903</v>
      </c>
      <c r="F43" s="60">
        <v>1435</v>
      </c>
      <c r="G43" s="60">
        <v>1591</v>
      </c>
      <c r="H43" s="60">
        <v>1431</v>
      </c>
      <c r="I43" s="60">
        <v>1469</v>
      </c>
      <c r="J43" s="60">
        <v>1492</v>
      </c>
      <c r="K43" s="60">
        <v>5531</v>
      </c>
      <c r="L43" s="60">
        <v>917</v>
      </c>
      <c r="M43" s="60">
        <v>2832</v>
      </c>
      <c r="N43" s="60">
        <v>3943</v>
      </c>
      <c r="O43" s="61">
        <v>6378</v>
      </c>
      <c r="P43" s="29">
        <f t="shared" si="1"/>
        <v>28282</v>
      </c>
    </row>
    <row r="44" spans="1:16" ht="12.75">
      <c r="A44" s="119"/>
      <c r="B44" s="131"/>
      <c r="C44" s="112" t="s">
        <v>19</v>
      </c>
      <c r="D44" s="34">
        <v>8630</v>
      </c>
      <c r="E44" s="60">
        <v>3947</v>
      </c>
      <c r="F44" s="60">
        <v>3654</v>
      </c>
      <c r="G44" s="60">
        <v>2338.5</v>
      </c>
      <c r="H44" s="60">
        <v>3578</v>
      </c>
      <c r="I44" s="60">
        <v>3088</v>
      </c>
      <c r="J44" s="60">
        <v>2656</v>
      </c>
      <c r="K44" s="60">
        <v>2847</v>
      </c>
      <c r="L44" s="60">
        <v>3085</v>
      </c>
      <c r="M44" s="60">
        <v>4105</v>
      </c>
      <c r="N44" s="60">
        <v>6622</v>
      </c>
      <c r="O44" s="61">
        <v>1630</v>
      </c>
      <c r="P44" s="29">
        <f t="shared" si="1"/>
        <v>46180.5</v>
      </c>
    </row>
    <row r="45" spans="1:16" ht="12.75">
      <c r="A45" s="119"/>
      <c r="B45" s="131"/>
      <c r="C45" s="112" t="s">
        <v>34</v>
      </c>
      <c r="D45" s="34">
        <v>2015</v>
      </c>
      <c r="E45" s="60">
        <v>3094</v>
      </c>
      <c r="F45" s="60">
        <v>7007</v>
      </c>
      <c r="G45" s="60">
        <v>2203</v>
      </c>
      <c r="H45" s="60">
        <v>3217</v>
      </c>
      <c r="I45" s="60">
        <v>13223</v>
      </c>
      <c r="J45" s="60">
        <v>3742</v>
      </c>
      <c r="K45" s="60">
        <v>4400</v>
      </c>
      <c r="L45" s="60">
        <v>5121</v>
      </c>
      <c r="M45" s="60">
        <v>5918</v>
      </c>
      <c r="N45" s="60">
        <v>4464</v>
      </c>
      <c r="O45" s="61">
        <v>7210</v>
      </c>
      <c r="P45" s="29">
        <f t="shared" si="1"/>
        <v>61614</v>
      </c>
    </row>
    <row r="46" spans="1:16" ht="13.5" thickBot="1">
      <c r="A46" s="126"/>
      <c r="B46" s="132"/>
      <c r="C46" s="114" t="s">
        <v>35</v>
      </c>
      <c r="D46" s="62">
        <v>736</v>
      </c>
      <c r="E46" s="63">
        <v>629</v>
      </c>
      <c r="F46" s="63">
        <v>947</v>
      </c>
      <c r="G46" s="63">
        <v>892</v>
      </c>
      <c r="H46" s="63">
        <v>204</v>
      </c>
      <c r="I46" s="63">
        <v>1805</v>
      </c>
      <c r="J46" s="63">
        <v>203</v>
      </c>
      <c r="K46" s="63">
        <v>1074</v>
      </c>
      <c r="L46" s="63">
        <v>438</v>
      </c>
      <c r="M46" s="63">
        <v>958</v>
      </c>
      <c r="N46" s="63">
        <v>983</v>
      </c>
      <c r="O46" s="64">
        <v>961</v>
      </c>
      <c r="P46" s="30">
        <f t="shared" si="1"/>
        <v>9830</v>
      </c>
    </row>
    <row r="47" ht="10.5" customHeight="1">
      <c r="A47" s="14"/>
    </row>
    <row r="48" ht="10.5" customHeight="1"/>
    <row r="49" ht="10.5" customHeight="1">
      <c r="A49" s="13"/>
    </row>
    <row r="50" ht="10.5" customHeight="1">
      <c r="A50" s="13"/>
    </row>
    <row r="51" ht="10.5" customHeight="1"/>
    <row r="52" ht="10.5" customHeight="1">
      <c r="A52" s="13"/>
    </row>
    <row r="53" ht="10.5" customHeight="1">
      <c r="A53" s="13"/>
    </row>
    <row r="54" ht="10.5" customHeight="1"/>
    <row r="55" ht="10.5" customHeight="1">
      <c r="A55" s="13"/>
    </row>
    <row r="56" ht="10.5" customHeight="1">
      <c r="A56" s="13"/>
    </row>
    <row r="57" ht="10.5" customHeight="1">
      <c r="A57" s="13"/>
    </row>
    <row r="58" ht="10.5" customHeight="1">
      <c r="A58" s="13"/>
    </row>
    <row r="59" ht="10.5" customHeight="1">
      <c r="A59" s="13"/>
    </row>
    <row r="60" ht="10.5" customHeight="1">
      <c r="A60" s="13"/>
    </row>
    <row r="61" ht="10.5" customHeight="1">
      <c r="A61" s="13"/>
    </row>
    <row r="62" ht="10.5" customHeight="1">
      <c r="A62" s="13"/>
    </row>
    <row r="63" ht="10.5" customHeight="1">
      <c r="A63" s="13"/>
    </row>
    <row r="64" ht="10.5" customHeight="1">
      <c r="A64" s="13"/>
    </row>
    <row r="65" ht="10.5" customHeight="1">
      <c r="A65" s="13"/>
    </row>
    <row r="66" ht="10.5" customHeight="1">
      <c r="A66" s="13"/>
    </row>
    <row r="67" ht="12.75">
      <c r="B67" s="12"/>
    </row>
    <row r="68" ht="12.75">
      <c r="B68" s="12"/>
    </row>
    <row r="69" ht="12.75">
      <c r="B69" s="12"/>
    </row>
    <row r="70" ht="12.75">
      <c r="B70" s="12"/>
    </row>
  </sheetData>
  <mergeCells count="4">
    <mergeCell ref="A7:A46"/>
    <mergeCell ref="B7:B26"/>
    <mergeCell ref="B27:B46"/>
    <mergeCell ref="D5:P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P7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.28125" style="1" bestFit="1" customWidth="1"/>
    <col min="3" max="3" width="14.140625" style="25" customWidth="1"/>
    <col min="4" max="15" width="6.28125" style="1" customWidth="1"/>
    <col min="16" max="16" width="6.28125" style="28" customWidth="1"/>
    <col min="17" max="16384" width="9.140625" style="1" customWidth="1"/>
  </cols>
  <sheetData>
    <row r="1" spans="1:8" ht="18.75">
      <c r="A1" s="5" t="s">
        <v>47</v>
      </c>
      <c r="B1" s="2"/>
      <c r="C1" s="18"/>
      <c r="D1" s="2"/>
      <c r="E1" s="2"/>
      <c r="F1" s="2"/>
      <c r="G1" s="2"/>
      <c r="H1" s="2"/>
    </row>
    <row r="2" spans="1:8" ht="12.75">
      <c r="A2" s="8" t="s">
        <v>2</v>
      </c>
      <c r="B2" s="2"/>
      <c r="C2" s="18"/>
      <c r="D2" s="2"/>
      <c r="E2" s="2"/>
      <c r="F2" s="2"/>
      <c r="G2" s="2"/>
      <c r="H2" s="2"/>
    </row>
    <row r="3" spans="1:8" ht="12.75">
      <c r="A3" s="7" t="s">
        <v>39</v>
      </c>
      <c r="B3" s="2"/>
      <c r="C3" s="18"/>
      <c r="D3" s="2"/>
      <c r="E3" s="2"/>
      <c r="F3" s="2"/>
      <c r="G3" s="2"/>
      <c r="H3" s="2"/>
    </row>
    <row r="4" ht="9.75" customHeight="1" thickBot="1"/>
    <row r="5" spans="4:16" ht="15" customHeight="1" thickBot="1">
      <c r="D5" s="120">
        <v>2007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4:16" ht="48" thickBot="1">
      <c r="D6" s="80" t="s">
        <v>20</v>
      </c>
      <c r="E6" s="82" t="s">
        <v>21</v>
      </c>
      <c r="F6" s="82" t="s">
        <v>22</v>
      </c>
      <c r="G6" s="82" t="s">
        <v>23</v>
      </c>
      <c r="H6" s="82" t="s">
        <v>24</v>
      </c>
      <c r="I6" s="82" t="s">
        <v>25</v>
      </c>
      <c r="J6" s="82" t="s">
        <v>26</v>
      </c>
      <c r="K6" s="82" t="s">
        <v>27</v>
      </c>
      <c r="L6" s="82" t="s">
        <v>28</v>
      </c>
      <c r="M6" s="82" t="s">
        <v>29</v>
      </c>
      <c r="N6" s="82" t="s">
        <v>30</v>
      </c>
      <c r="O6" s="81" t="s">
        <v>31</v>
      </c>
      <c r="P6" s="87" t="s">
        <v>32</v>
      </c>
    </row>
    <row r="7" spans="1:16" ht="13.5" thickBot="1">
      <c r="A7" s="127" t="s">
        <v>6</v>
      </c>
      <c r="B7" s="136" t="s">
        <v>42</v>
      </c>
      <c r="C7" s="21" t="s">
        <v>36</v>
      </c>
      <c r="D7" s="73">
        <f>SUM(D8:D16)</f>
        <v>226</v>
      </c>
      <c r="E7" s="74">
        <f aca="true" t="shared" si="0" ref="E7:O7">SUM(E8:E16)</f>
        <v>261</v>
      </c>
      <c r="F7" s="74">
        <f t="shared" si="0"/>
        <v>360</v>
      </c>
      <c r="G7" s="74">
        <f t="shared" si="0"/>
        <v>306</v>
      </c>
      <c r="H7" s="74">
        <f t="shared" si="0"/>
        <v>351</v>
      </c>
      <c r="I7" s="74">
        <f t="shared" si="0"/>
        <v>346</v>
      </c>
      <c r="J7" s="74">
        <f t="shared" si="0"/>
        <v>318</v>
      </c>
      <c r="K7" s="74">
        <f t="shared" si="0"/>
        <v>300</v>
      </c>
      <c r="L7" s="74">
        <f t="shared" si="0"/>
        <v>276</v>
      </c>
      <c r="M7" s="74">
        <f t="shared" si="0"/>
        <v>328</v>
      </c>
      <c r="N7" s="74">
        <f t="shared" si="0"/>
        <v>311</v>
      </c>
      <c r="O7" s="75">
        <f t="shared" si="0"/>
        <v>344</v>
      </c>
      <c r="P7" s="99">
        <f>SUM(D7:O7)</f>
        <v>3727</v>
      </c>
    </row>
    <row r="8" spans="1:16" ht="12.75">
      <c r="A8" s="128"/>
      <c r="B8" s="137"/>
      <c r="C8" s="111" t="s">
        <v>18</v>
      </c>
      <c r="D8" s="40">
        <v>24</v>
      </c>
      <c r="E8" s="40">
        <v>33</v>
      </c>
      <c r="F8" s="40">
        <v>41</v>
      </c>
      <c r="G8" s="40">
        <v>37</v>
      </c>
      <c r="H8" s="40">
        <v>29</v>
      </c>
      <c r="I8" s="40">
        <v>26</v>
      </c>
      <c r="J8" s="40">
        <v>43</v>
      </c>
      <c r="K8" s="40">
        <v>19</v>
      </c>
      <c r="L8" s="40">
        <v>32</v>
      </c>
      <c r="M8" s="40">
        <v>29</v>
      </c>
      <c r="N8" s="40">
        <v>28</v>
      </c>
      <c r="O8" s="41">
        <v>37</v>
      </c>
      <c r="P8" s="42">
        <f aca="true" t="shared" si="1" ref="P8:P46">SUM(D8:O8)</f>
        <v>378</v>
      </c>
    </row>
    <row r="9" spans="1:16" ht="21" customHeight="1">
      <c r="A9" s="128"/>
      <c r="B9" s="137"/>
      <c r="C9" s="112" t="s">
        <v>3</v>
      </c>
      <c r="D9" s="43">
        <v>54</v>
      </c>
      <c r="E9" s="43">
        <v>50</v>
      </c>
      <c r="F9" s="43">
        <v>76</v>
      </c>
      <c r="G9" s="43">
        <v>63</v>
      </c>
      <c r="H9" s="43">
        <v>83</v>
      </c>
      <c r="I9" s="43">
        <v>86</v>
      </c>
      <c r="J9" s="43">
        <v>85</v>
      </c>
      <c r="K9" s="43">
        <v>67</v>
      </c>
      <c r="L9" s="43">
        <v>54</v>
      </c>
      <c r="M9" s="43">
        <v>85</v>
      </c>
      <c r="N9" s="43">
        <v>66</v>
      </c>
      <c r="O9" s="44">
        <v>78</v>
      </c>
      <c r="P9" s="45">
        <f t="shared" si="1"/>
        <v>847</v>
      </c>
    </row>
    <row r="10" spans="1:16" ht="12.75">
      <c r="A10" s="128"/>
      <c r="B10" s="137"/>
      <c r="C10" s="112" t="s">
        <v>4</v>
      </c>
      <c r="D10" s="46">
        <v>31</v>
      </c>
      <c r="E10" s="46">
        <v>38</v>
      </c>
      <c r="F10" s="46">
        <v>58</v>
      </c>
      <c r="G10" s="46">
        <v>51</v>
      </c>
      <c r="H10" s="46">
        <v>61</v>
      </c>
      <c r="I10" s="46">
        <v>64</v>
      </c>
      <c r="J10" s="46">
        <v>49</v>
      </c>
      <c r="K10" s="46">
        <v>56</v>
      </c>
      <c r="L10" s="46">
        <v>45</v>
      </c>
      <c r="M10" s="46">
        <v>43</v>
      </c>
      <c r="N10" s="46">
        <v>49</v>
      </c>
      <c r="O10" s="47">
        <v>54</v>
      </c>
      <c r="P10" s="45">
        <f t="shared" si="1"/>
        <v>599</v>
      </c>
    </row>
    <row r="11" spans="1:16" ht="12.75">
      <c r="A11" s="128"/>
      <c r="B11" s="137"/>
      <c r="C11" s="113" t="s">
        <v>0</v>
      </c>
      <c r="D11" s="46">
        <v>59</v>
      </c>
      <c r="E11" s="46">
        <v>79</v>
      </c>
      <c r="F11" s="46">
        <v>103</v>
      </c>
      <c r="G11" s="46">
        <v>79</v>
      </c>
      <c r="H11" s="46">
        <v>94</v>
      </c>
      <c r="I11" s="46">
        <v>96</v>
      </c>
      <c r="J11" s="46">
        <v>87</v>
      </c>
      <c r="K11" s="46">
        <v>84</v>
      </c>
      <c r="L11" s="46">
        <v>84</v>
      </c>
      <c r="M11" s="46">
        <v>90</v>
      </c>
      <c r="N11" s="46">
        <v>104</v>
      </c>
      <c r="O11" s="47">
        <v>95</v>
      </c>
      <c r="P11" s="45">
        <f t="shared" si="1"/>
        <v>1054</v>
      </c>
    </row>
    <row r="12" spans="1:16" ht="12.75">
      <c r="A12" s="128"/>
      <c r="B12" s="137"/>
      <c r="C12" s="112" t="s">
        <v>37</v>
      </c>
      <c r="D12" s="46">
        <v>22</v>
      </c>
      <c r="E12" s="46">
        <v>14</v>
      </c>
      <c r="F12" s="46">
        <v>22</v>
      </c>
      <c r="G12" s="46">
        <v>14</v>
      </c>
      <c r="H12" s="46">
        <v>14</v>
      </c>
      <c r="I12" s="46">
        <v>18</v>
      </c>
      <c r="J12" s="46">
        <v>15</v>
      </c>
      <c r="K12" s="46">
        <v>11</v>
      </c>
      <c r="L12" s="46">
        <v>9</v>
      </c>
      <c r="M12" s="46">
        <v>15</v>
      </c>
      <c r="N12" s="46">
        <v>11</v>
      </c>
      <c r="O12" s="47">
        <v>7</v>
      </c>
      <c r="P12" s="45">
        <f t="shared" si="1"/>
        <v>172</v>
      </c>
    </row>
    <row r="13" spans="1:16" ht="12.75">
      <c r="A13" s="128"/>
      <c r="B13" s="137"/>
      <c r="C13" s="112" t="s">
        <v>38</v>
      </c>
      <c r="D13" s="46">
        <v>8</v>
      </c>
      <c r="E13" s="46">
        <v>9</v>
      </c>
      <c r="F13" s="46">
        <v>13</v>
      </c>
      <c r="G13" s="46">
        <v>12</v>
      </c>
      <c r="H13" s="46">
        <v>24</v>
      </c>
      <c r="I13" s="46">
        <v>10</v>
      </c>
      <c r="J13" s="46">
        <v>11</v>
      </c>
      <c r="K13" s="46">
        <v>15</v>
      </c>
      <c r="L13" s="46">
        <v>15</v>
      </c>
      <c r="M13" s="46">
        <v>30</v>
      </c>
      <c r="N13" s="46">
        <v>20</v>
      </c>
      <c r="O13" s="47">
        <v>16</v>
      </c>
      <c r="P13" s="45">
        <f t="shared" si="1"/>
        <v>183</v>
      </c>
    </row>
    <row r="14" spans="1:16" ht="12.75">
      <c r="A14" s="128"/>
      <c r="B14" s="137"/>
      <c r="C14" s="112" t="s">
        <v>19</v>
      </c>
      <c r="D14" s="46">
        <v>17</v>
      </c>
      <c r="E14" s="46">
        <v>22</v>
      </c>
      <c r="F14" s="46">
        <v>25</v>
      </c>
      <c r="G14" s="46">
        <v>27</v>
      </c>
      <c r="H14" s="46">
        <v>23</v>
      </c>
      <c r="I14" s="46">
        <v>23</v>
      </c>
      <c r="J14" s="46">
        <v>4</v>
      </c>
      <c r="K14" s="46">
        <v>25</v>
      </c>
      <c r="L14" s="46">
        <v>20</v>
      </c>
      <c r="M14" s="46">
        <v>23</v>
      </c>
      <c r="N14" s="46">
        <v>14</v>
      </c>
      <c r="O14" s="47">
        <v>35</v>
      </c>
      <c r="P14" s="45">
        <f t="shared" si="1"/>
        <v>258</v>
      </c>
    </row>
    <row r="15" spans="1:16" ht="12.75">
      <c r="A15" s="128"/>
      <c r="B15" s="137"/>
      <c r="C15" s="112" t="s">
        <v>34</v>
      </c>
      <c r="D15" s="46">
        <v>5</v>
      </c>
      <c r="E15" s="46">
        <v>10</v>
      </c>
      <c r="F15" s="46">
        <v>15</v>
      </c>
      <c r="G15" s="46">
        <v>17</v>
      </c>
      <c r="H15" s="46">
        <v>18</v>
      </c>
      <c r="I15" s="46">
        <v>17</v>
      </c>
      <c r="J15" s="46">
        <v>16</v>
      </c>
      <c r="K15" s="46">
        <v>15</v>
      </c>
      <c r="L15" s="46">
        <v>10</v>
      </c>
      <c r="M15" s="46">
        <v>10</v>
      </c>
      <c r="N15" s="46">
        <v>15</v>
      </c>
      <c r="O15" s="47">
        <v>14</v>
      </c>
      <c r="P15" s="45">
        <f t="shared" si="1"/>
        <v>162</v>
      </c>
    </row>
    <row r="16" spans="1:16" ht="13.5" thickBot="1">
      <c r="A16" s="128"/>
      <c r="B16" s="137"/>
      <c r="C16" s="114" t="s">
        <v>35</v>
      </c>
      <c r="D16" s="48">
        <v>6</v>
      </c>
      <c r="E16" s="48">
        <v>6</v>
      </c>
      <c r="F16" s="48">
        <v>7</v>
      </c>
      <c r="G16" s="48">
        <v>6</v>
      </c>
      <c r="H16" s="48">
        <v>5</v>
      </c>
      <c r="I16" s="48">
        <v>6</v>
      </c>
      <c r="J16" s="48">
        <v>8</v>
      </c>
      <c r="K16" s="48">
        <v>8</v>
      </c>
      <c r="L16" s="48">
        <v>7</v>
      </c>
      <c r="M16" s="48">
        <v>3</v>
      </c>
      <c r="N16" s="48">
        <v>4</v>
      </c>
      <c r="O16" s="49">
        <v>8</v>
      </c>
      <c r="P16" s="50">
        <f t="shared" si="1"/>
        <v>74</v>
      </c>
    </row>
    <row r="17" spans="1:16" ht="21.75" thickBot="1">
      <c r="A17" s="128"/>
      <c r="B17" s="137"/>
      <c r="C17" s="100" t="s">
        <v>45</v>
      </c>
      <c r="D17" s="73">
        <f>SUM(D18:D26)</f>
        <v>88813</v>
      </c>
      <c r="E17" s="74">
        <f>SUM(E18:E26)</f>
        <v>268165</v>
      </c>
      <c r="F17" s="74">
        <f aca="true" t="shared" si="2" ref="F17:O17">SUM(F18:F26)</f>
        <v>79937</v>
      </c>
      <c r="G17" s="74">
        <f t="shared" si="2"/>
        <v>71373</v>
      </c>
      <c r="H17" s="74">
        <f t="shared" si="2"/>
        <v>83070</v>
      </c>
      <c r="I17" s="74">
        <f t="shared" si="2"/>
        <v>84392</v>
      </c>
      <c r="J17" s="74">
        <f t="shared" si="2"/>
        <v>122759</v>
      </c>
      <c r="K17" s="74">
        <f t="shared" si="2"/>
        <v>121150</v>
      </c>
      <c r="L17" s="74">
        <f t="shared" si="2"/>
        <v>76808</v>
      </c>
      <c r="M17" s="74">
        <f t="shared" si="2"/>
        <v>89273</v>
      </c>
      <c r="N17" s="74">
        <f t="shared" si="2"/>
        <v>103467</v>
      </c>
      <c r="O17" s="75">
        <f t="shared" si="2"/>
        <v>144775</v>
      </c>
      <c r="P17" s="99">
        <f t="shared" si="1"/>
        <v>1333982</v>
      </c>
    </row>
    <row r="18" spans="1:16" ht="12.75">
      <c r="A18" s="128"/>
      <c r="B18" s="137"/>
      <c r="C18" s="111" t="s">
        <v>18</v>
      </c>
      <c r="D18" s="40">
        <v>21897</v>
      </c>
      <c r="E18" s="40">
        <v>28492</v>
      </c>
      <c r="F18" s="40">
        <v>27232</v>
      </c>
      <c r="G18" s="40">
        <v>34986</v>
      </c>
      <c r="H18" s="40">
        <v>22284</v>
      </c>
      <c r="I18" s="40">
        <v>15212</v>
      </c>
      <c r="J18" s="40">
        <v>52354</v>
      </c>
      <c r="K18" s="40">
        <v>45522</v>
      </c>
      <c r="L18" s="40">
        <v>48042</v>
      </c>
      <c r="M18" s="40">
        <v>44291</v>
      </c>
      <c r="N18" s="40">
        <v>52352</v>
      </c>
      <c r="O18" s="41">
        <v>94152</v>
      </c>
      <c r="P18" s="42">
        <f t="shared" si="1"/>
        <v>486816</v>
      </c>
    </row>
    <row r="19" spans="1:16" ht="21">
      <c r="A19" s="128"/>
      <c r="B19" s="137"/>
      <c r="C19" s="112" t="s">
        <v>3</v>
      </c>
      <c r="D19" s="46">
        <v>17033</v>
      </c>
      <c r="E19" s="46">
        <v>10087</v>
      </c>
      <c r="F19" s="46">
        <v>11472</v>
      </c>
      <c r="G19" s="46">
        <v>10523</v>
      </c>
      <c r="H19" s="46">
        <v>12100</v>
      </c>
      <c r="I19" s="46">
        <v>30815</v>
      </c>
      <c r="J19" s="46">
        <v>15877</v>
      </c>
      <c r="K19" s="46">
        <v>9329</v>
      </c>
      <c r="L19" s="46">
        <v>8360</v>
      </c>
      <c r="M19" s="46">
        <v>15571</v>
      </c>
      <c r="N19" s="46">
        <v>19265</v>
      </c>
      <c r="O19" s="47">
        <v>10552</v>
      </c>
      <c r="P19" s="45">
        <f t="shared" si="1"/>
        <v>170984</v>
      </c>
    </row>
    <row r="20" spans="1:16" ht="12.75">
      <c r="A20" s="128"/>
      <c r="B20" s="137"/>
      <c r="C20" s="112" t="s">
        <v>4</v>
      </c>
      <c r="D20" s="46">
        <v>15677</v>
      </c>
      <c r="E20" s="46">
        <v>215640</v>
      </c>
      <c r="F20" s="46">
        <v>7824</v>
      </c>
      <c r="G20" s="46">
        <v>8206</v>
      </c>
      <c r="H20" s="46">
        <v>15931</v>
      </c>
      <c r="I20" s="46">
        <v>9687</v>
      </c>
      <c r="J20" s="46">
        <v>22566</v>
      </c>
      <c r="K20" s="46">
        <v>34675</v>
      </c>
      <c r="L20" s="46">
        <v>5611</v>
      </c>
      <c r="M20" s="46">
        <v>5038</v>
      </c>
      <c r="N20" s="46">
        <v>9509</v>
      </c>
      <c r="O20" s="47">
        <v>11051</v>
      </c>
      <c r="P20" s="45">
        <f t="shared" si="1"/>
        <v>361415</v>
      </c>
    </row>
    <row r="21" spans="1:16" ht="12.75">
      <c r="A21" s="128"/>
      <c r="B21" s="137"/>
      <c r="C21" s="113" t="s">
        <v>0</v>
      </c>
      <c r="D21" s="46">
        <v>23817</v>
      </c>
      <c r="E21" s="46">
        <v>8485</v>
      </c>
      <c r="F21" s="46">
        <v>17446</v>
      </c>
      <c r="G21" s="46">
        <v>7527</v>
      </c>
      <c r="H21" s="46">
        <v>14361</v>
      </c>
      <c r="I21" s="46">
        <v>17779</v>
      </c>
      <c r="J21" s="46">
        <v>14757</v>
      </c>
      <c r="K21" s="46">
        <v>14711</v>
      </c>
      <c r="L21" s="46">
        <v>6843</v>
      </c>
      <c r="M21" s="46">
        <v>10304</v>
      </c>
      <c r="N21" s="46">
        <v>12547</v>
      </c>
      <c r="O21" s="47">
        <v>16306</v>
      </c>
      <c r="P21" s="45">
        <f t="shared" si="1"/>
        <v>164883</v>
      </c>
    </row>
    <row r="22" spans="1:16" ht="12.75">
      <c r="A22" s="128"/>
      <c r="B22" s="137"/>
      <c r="C22" s="112" t="s">
        <v>37</v>
      </c>
      <c r="D22" s="46">
        <v>2700</v>
      </c>
      <c r="E22" s="46">
        <v>969</v>
      </c>
      <c r="F22" s="46">
        <v>3353</v>
      </c>
      <c r="G22" s="46">
        <v>799</v>
      </c>
      <c r="H22" s="46">
        <v>1396</v>
      </c>
      <c r="I22" s="46">
        <v>1949</v>
      </c>
      <c r="J22" s="46">
        <v>2164</v>
      </c>
      <c r="K22" s="46">
        <v>805</v>
      </c>
      <c r="L22" s="46">
        <v>1710</v>
      </c>
      <c r="M22" s="46">
        <v>2891</v>
      </c>
      <c r="N22" s="46">
        <v>783</v>
      </c>
      <c r="O22" s="47">
        <v>457</v>
      </c>
      <c r="P22" s="45">
        <f t="shared" si="1"/>
        <v>19976</v>
      </c>
    </row>
    <row r="23" spans="1:16" ht="12.75">
      <c r="A23" s="128"/>
      <c r="B23" s="137"/>
      <c r="C23" s="112" t="s">
        <v>38</v>
      </c>
      <c r="D23" s="46">
        <v>885</v>
      </c>
      <c r="E23" s="46">
        <v>687</v>
      </c>
      <c r="F23" s="46">
        <v>528</v>
      </c>
      <c r="G23" s="46">
        <v>2719</v>
      </c>
      <c r="H23" s="46">
        <v>5120</v>
      </c>
      <c r="I23" s="46">
        <v>422</v>
      </c>
      <c r="J23" s="46">
        <v>4582</v>
      </c>
      <c r="K23" s="46">
        <v>4614</v>
      </c>
      <c r="L23" s="46">
        <v>821</v>
      </c>
      <c r="M23" s="46">
        <v>2002</v>
      </c>
      <c r="N23" s="46">
        <v>1109</v>
      </c>
      <c r="O23" s="47">
        <v>2386</v>
      </c>
      <c r="P23" s="45">
        <f t="shared" si="1"/>
        <v>25875</v>
      </c>
    </row>
    <row r="24" spans="1:16" ht="12.75">
      <c r="A24" s="128"/>
      <c r="B24" s="137"/>
      <c r="C24" s="112" t="s">
        <v>19</v>
      </c>
      <c r="D24" s="46">
        <v>1909</v>
      </c>
      <c r="E24" s="46">
        <v>1987</v>
      </c>
      <c r="F24" s="46">
        <v>2197</v>
      </c>
      <c r="G24" s="46">
        <v>3961</v>
      </c>
      <c r="H24" s="46">
        <v>8632</v>
      </c>
      <c r="I24" s="46">
        <v>4814</v>
      </c>
      <c r="J24" s="46">
        <v>8005</v>
      </c>
      <c r="K24" s="46">
        <v>2592</v>
      </c>
      <c r="L24" s="46">
        <v>2212</v>
      </c>
      <c r="M24" s="46">
        <v>4216</v>
      </c>
      <c r="N24" s="46">
        <v>1351</v>
      </c>
      <c r="O24" s="47">
        <v>4816</v>
      </c>
      <c r="P24" s="45">
        <f t="shared" si="1"/>
        <v>46692</v>
      </c>
    </row>
    <row r="25" spans="1:16" ht="12.75">
      <c r="A25" s="128"/>
      <c r="B25" s="137"/>
      <c r="C25" s="112" t="s">
        <v>34</v>
      </c>
      <c r="D25" s="46">
        <v>4218</v>
      </c>
      <c r="E25" s="46">
        <v>1566</v>
      </c>
      <c r="F25" s="46">
        <v>9257</v>
      </c>
      <c r="G25" s="46">
        <v>2452</v>
      </c>
      <c r="H25" s="46">
        <v>2082</v>
      </c>
      <c r="I25" s="46">
        <v>1439</v>
      </c>
      <c r="J25" s="46">
        <v>1961</v>
      </c>
      <c r="K25" s="46">
        <v>5694</v>
      </c>
      <c r="L25" s="46">
        <v>1943</v>
      </c>
      <c r="M25" s="46">
        <v>4628</v>
      </c>
      <c r="N25" s="46">
        <v>6274</v>
      </c>
      <c r="O25" s="47">
        <v>4598</v>
      </c>
      <c r="P25" s="45">
        <f t="shared" si="1"/>
        <v>46112</v>
      </c>
    </row>
    <row r="26" spans="1:16" ht="13.5" thickBot="1">
      <c r="A26" s="128"/>
      <c r="B26" s="138"/>
      <c r="C26" s="114" t="s">
        <v>35</v>
      </c>
      <c r="D26" s="48">
        <v>677</v>
      </c>
      <c r="E26" s="48">
        <v>252</v>
      </c>
      <c r="F26" s="48">
        <v>628</v>
      </c>
      <c r="G26" s="48">
        <v>200</v>
      </c>
      <c r="H26" s="48">
        <v>1164</v>
      </c>
      <c r="I26" s="48">
        <v>2275</v>
      </c>
      <c r="J26" s="48">
        <v>493</v>
      </c>
      <c r="K26" s="48">
        <v>3208</v>
      </c>
      <c r="L26" s="48">
        <v>1266</v>
      </c>
      <c r="M26" s="48">
        <v>332</v>
      </c>
      <c r="N26" s="48">
        <v>277</v>
      </c>
      <c r="O26" s="49">
        <v>457</v>
      </c>
      <c r="P26" s="50">
        <f t="shared" si="1"/>
        <v>11229</v>
      </c>
    </row>
    <row r="27" spans="1:16" ht="13.5" thickBot="1">
      <c r="A27" s="128"/>
      <c r="B27" s="133" t="s">
        <v>7</v>
      </c>
      <c r="C27" s="21" t="s">
        <v>36</v>
      </c>
      <c r="D27" s="73">
        <f>SUM(D28:D36)</f>
        <v>531</v>
      </c>
      <c r="E27" s="74">
        <f aca="true" t="shared" si="3" ref="E27:O27">SUM(E28:E36)</f>
        <v>537</v>
      </c>
      <c r="F27" s="74">
        <f t="shared" si="3"/>
        <v>869</v>
      </c>
      <c r="G27" s="74">
        <f t="shared" si="3"/>
        <v>725</v>
      </c>
      <c r="H27" s="74">
        <f t="shared" si="3"/>
        <v>713</v>
      </c>
      <c r="I27" s="74">
        <f t="shared" si="3"/>
        <v>548</v>
      </c>
      <c r="J27" s="74">
        <f t="shared" si="3"/>
        <v>532</v>
      </c>
      <c r="K27" s="74">
        <f t="shared" si="3"/>
        <v>359</v>
      </c>
      <c r="L27" s="74">
        <f t="shared" si="3"/>
        <v>323</v>
      </c>
      <c r="M27" s="74">
        <f t="shared" si="3"/>
        <v>472</v>
      </c>
      <c r="N27" s="74">
        <f t="shared" si="3"/>
        <v>420</v>
      </c>
      <c r="O27" s="75">
        <f t="shared" si="3"/>
        <v>418</v>
      </c>
      <c r="P27" s="99">
        <f t="shared" si="1"/>
        <v>6447</v>
      </c>
    </row>
    <row r="28" spans="1:16" ht="12.75">
      <c r="A28" s="128"/>
      <c r="B28" s="134"/>
      <c r="C28" s="111" t="s">
        <v>18</v>
      </c>
      <c r="D28" s="40">
        <f>136+16+18</f>
        <v>170</v>
      </c>
      <c r="E28" s="40">
        <f>22+19+26</f>
        <v>67</v>
      </c>
      <c r="F28" s="40">
        <f>148+32+28</f>
        <v>208</v>
      </c>
      <c r="G28" s="40">
        <f>49+23+34</f>
        <v>106</v>
      </c>
      <c r="H28" s="40">
        <f>31+30+28</f>
        <v>89</v>
      </c>
      <c r="I28" s="40">
        <f>17+19+42</f>
        <v>78</v>
      </c>
      <c r="J28" s="40">
        <f>21+30+34</f>
        <v>85</v>
      </c>
      <c r="K28" s="40">
        <f>22+21+11</f>
        <v>54</v>
      </c>
      <c r="L28" s="40">
        <f>9+9+12</f>
        <v>30</v>
      </c>
      <c r="M28" s="40">
        <f>17+14+27</f>
        <v>58</v>
      </c>
      <c r="N28" s="40">
        <f>26+19+14</f>
        <v>59</v>
      </c>
      <c r="O28" s="41">
        <f>23+18+20</f>
        <v>61</v>
      </c>
      <c r="P28" s="42">
        <f t="shared" si="1"/>
        <v>1065</v>
      </c>
    </row>
    <row r="29" spans="1:16" ht="21">
      <c r="A29" s="128"/>
      <c r="B29" s="134"/>
      <c r="C29" s="112" t="s">
        <v>3</v>
      </c>
      <c r="D29" s="43">
        <f>22+31+37</f>
        <v>90</v>
      </c>
      <c r="E29" s="43">
        <f>31+30+47</f>
        <v>108</v>
      </c>
      <c r="F29" s="43">
        <f>87+38+45</f>
        <v>170</v>
      </c>
      <c r="G29" s="43">
        <f>79+34+55</f>
        <v>168</v>
      </c>
      <c r="H29" s="43">
        <f>67+35+57</f>
        <v>159</v>
      </c>
      <c r="I29" s="43">
        <f>18+37+50</f>
        <v>105</v>
      </c>
      <c r="J29" s="43">
        <f>24+44+42</f>
        <v>110</v>
      </c>
      <c r="K29" s="43">
        <f>22+38+31</f>
        <v>91</v>
      </c>
      <c r="L29" s="43">
        <f>21+38+17</f>
        <v>76</v>
      </c>
      <c r="M29" s="43">
        <f>11+40+41</f>
        <v>92</v>
      </c>
      <c r="N29" s="43">
        <f>5+34+45</f>
        <v>84</v>
      </c>
      <c r="O29" s="44">
        <f>24+24+39</f>
        <v>87</v>
      </c>
      <c r="P29" s="45">
        <f t="shared" si="1"/>
        <v>1340</v>
      </c>
    </row>
    <row r="30" spans="1:16" ht="12.75">
      <c r="A30" s="128"/>
      <c r="B30" s="134"/>
      <c r="C30" s="112" t="s">
        <v>4</v>
      </c>
      <c r="D30" s="46">
        <f>11+30+31</f>
        <v>72</v>
      </c>
      <c r="E30" s="46">
        <f>11+38+30</f>
        <v>79</v>
      </c>
      <c r="F30" s="46">
        <f>25+70+41</f>
        <v>136</v>
      </c>
      <c r="G30" s="46">
        <f>51+37+37</f>
        <v>125</v>
      </c>
      <c r="H30" s="46">
        <f>41+48+58</f>
        <v>147</v>
      </c>
      <c r="I30" s="46">
        <f>9+35+37</f>
        <v>81</v>
      </c>
      <c r="J30" s="46">
        <f>17+37+45</f>
        <v>99</v>
      </c>
      <c r="K30" s="46">
        <f>9+26+13</f>
        <v>48</v>
      </c>
      <c r="L30" s="46">
        <f>6+14+24</f>
        <v>44</v>
      </c>
      <c r="M30" s="46">
        <f>6+30+40</f>
        <v>76</v>
      </c>
      <c r="N30" s="46">
        <f>25+19+23</f>
        <v>67</v>
      </c>
      <c r="O30" s="47">
        <f>4+39+38</f>
        <v>81</v>
      </c>
      <c r="P30" s="45">
        <f t="shared" si="1"/>
        <v>1055</v>
      </c>
    </row>
    <row r="31" spans="1:16" ht="12.75">
      <c r="A31" s="128"/>
      <c r="B31" s="134"/>
      <c r="C31" s="113" t="s">
        <v>0</v>
      </c>
      <c r="D31" s="46">
        <f>7+30+44</f>
        <v>81</v>
      </c>
      <c r="E31" s="46">
        <f>28+38+53</f>
        <v>119</v>
      </c>
      <c r="F31" s="46">
        <f>65+48+67</f>
        <v>180</v>
      </c>
      <c r="G31" s="46">
        <f>35+41+52</f>
        <v>128</v>
      </c>
      <c r="H31" s="46">
        <f>46+50+48</f>
        <v>144</v>
      </c>
      <c r="I31" s="46">
        <f>13+43+47</f>
        <v>103</v>
      </c>
      <c r="J31" s="46">
        <f>22+39+30</f>
        <v>91</v>
      </c>
      <c r="K31" s="46">
        <f>27+31+24</f>
        <v>82</v>
      </c>
      <c r="L31" s="46">
        <f>31+29+28</f>
        <v>88</v>
      </c>
      <c r="M31" s="46">
        <f>16+44+50</f>
        <v>110</v>
      </c>
      <c r="N31" s="46">
        <f>16+50+37</f>
        <v>103</v>
      </c>
      <c r="O31" s="47">
        <f>11+31+31</f>
        <v>73</v>
      </c>
      <c r="P31" s="45">
        <f t="shared" si="1"/>
        <v>1302</v>
      </c>
    </row>
    <row r="32" spans="1:16" ht="12.75">
      <c r="A32" s="128"/>
      <c r="B32" s="134"/>
      <c r="C32" s="112" t="s">
        <v>37</v>
      </c>
      <c r="D32" s="46">
        <f>3+8+10</f>
        <v>21</v>
      </c>
      <c r="E32" s="46">
        <f>2+12+19</f>
        <v>33</v>
      </c>
      <c r="F32" s="46">
        <f>3+15+14</f>
        <v>32</v>
      </c>
      <c r="G32" s="46">
        <f>24+16+8</f>
        <v>48</v>
      </c>
      <c r="H32" s="46">
        <f>4+26+17</f>
        <v>47</v>
      </c>
      <c r="I32" s="46">
        <f>1+19+17</f>
        <v>37</v>
      </c>
      <c r="J32" s="46">
        <f>2+22+9</f>
        <v>33</v>
      </c>
      <c r="K32" s="46">
        <f>0+15+14</f>
        <v>29</v>
      </c>
      <c r="L32" s="46">
        <f>9+5</f>
        <v>14</v>
      </c>
      <c r="M32" s="46">
        <f>1+10+12</f>
        <v>23</v>
      </c>
      <c r="N32" s="46">
        <v>26</v>
      </c>
      <c r="O32" s="47">
        <f>0+16+15</f>
        <v>31</v>
      </c>
      <c r="P32" s="45">
        <f t="shared" si="1"/>
        <v>374</v>
      </c>
    </row>
    <row r="33" spans="1:16" ht="12.75">
      <c r="A33" s="128"/>
      <c r="B33" s="134"/>
      <c r="C33" s="112" t="s">
        <v>38</v>
      </c>
      <c r="D33" s="46">
        <f>3+9+2</f>
        <v>14</v>
      </c>
      <c r="E33" s="46">
        <f>8+9+5</f>
        <v>22</v>
      </c>
      <c r="F33" s="46">
        <f>1+16+15</f>
        <v>32</v>
      </c>
      <c r="G33" s="46">
        <f>9+10+8</f>
        <v>27</v>
      </c>
      <c r="H33" s="46">
        <f>7+17+10</f>
        <v>34</v>
      </c>
      <c r="I33" s="46">
        <f>2+12+11</f>
        <v>25</v>
      </c>
      <c r="J33" s="46">
        <f>7+7+7</f>
        <v>21</v>
      </c>
      <c r="K33" s="46">
        <f>1+4+11</f>
        <v>16</v>
      </c>
      <c r="L33" s="46">
        <f>2+4+3</f>
        <v>9</v>
      </c>
      <c r="M33" s="46">
        <f>2+29+7</f>
        <v>38</v>
      </c>
      <c r="N33" s="46">
        <v>26</v>
      </c>
      <c r="O33" s="47">
        <f>3+10+9</f>
        <v>22</v>
      </c>
      <c r="P33" s="45">
        <f t="shared" si="1"/>
        <v>286</v>
      </c>
    </row>
    <row r="34" spans="1:16" ht="12.75">
      <c r="A34" s="128"/>
      <c r="B34" s="134"/>
      <c r="C34" s="112" t="s">
        <v>19</v>
      </c>
      <c r="D34" s="46">
        <f>11+7+10</f>
        <v>28</v>
      </c>
      <c r="E34" s="46">
        <f>8+3+7</f>
        <v>18</v>
      </c>
      <c r="F34" s="46">
        <f>13+7+12</f>
        <v>32</v>
      </c>
      <c r="G34" s="46">
        <f>21+3+13</f>
        <v>37</v>
      </c>
      <c r="H34" s="46">
        <f>20+7+10</f>
        <v>37</v>
      </c>
      <c r="I34" s="46">
        <f>32+7+10</f>
        <v>49</v>
      </c>
      <c r="J34" s="46">
        <f>18+10+8</f>
        <v>36</v>
      </c>
      <c r="K34" s="46">
        <f>1+7+3</f>
        <v>11</v>
      </c>
      <c r="L34" s="46">
        <v>28</v>
      </c>
      <c r="M34" s="46">
        <f>20+4+8</f>
        <v>32</v>
      </c>
      <c r="N34" s="46">
        <f>14+7+8</f>
        <v>29</v>
      </c>
      <c r="O34" s="47">
        <f>12+5+7</f>
        <v>24</v>
      </c>
      <c r="P34" s="45">
        <f t="shared" si="1"/>
        <v>361</v>
      </c>
    </row>
    <row r="35" spans="1:16" ht="12.75">
      <c r="A35" s="128"/>
      <c r="B35" s="134"/>
      <c r="C35" s="112" t="s">
        <v>34</v>
      </c>
      <c r="D35" s="46">
        <f>19+16+7</f>
        <v>42</v>
      </c>
      <c r="E35" s="46">
        <f>61+6+10</f>
        <v>77</v>
      </c>
      <c r="F35" s="46">
        <f>46+2+6</f>
        <v>54</v>
      </c>
      <c r="G35" s="46">
        <f>40+7+11</f>
        <v>58</v>
      </c>
      <c r="H35" s="46">
        <f>25+6+14</f>
        <v>45</v>
      </c>
      <c r="I35" s="46">
        <f>32+3+11</f>
        <v>46</v>
      </c>
      <c r="J35" s="46">
        <f>17+17+8</f>
        <v>42</v>
      </c>
      <c r="K35" s="46">
        <f>5+12+7</f>
        <v>24</v>
      </c>
      <c r="L35" s="46">
        <f>15+3+5</f>
        <v>23</v>
      </c>
      <c r="M35" s="46">
        <f>8+4+5</f>
        <v>17</v>
      </c>
      <c r="N35" s="46">
        <f>8+6+6</f>
        <v>20</v>
      </c>
      <c r="O35" s="47">
        <f>20+10+5</f>
        <v>35</v>
      </c>
      <c r="P35" s="45">
        <f t="shared" si="1"/>
        <v>483</v>
      </c>
    </row>
    <row r="36" spans="1:16" ht="13.5" thickBot="1">
      <c r="A36" s="128"/>
      <c r="B36" s="135"/>
      <c r="C36" s="114" t="s">
        <v>35</v>
      </c>
      <c r="D36" s="48">
        <f>4+1+8</f>
        <v>13</v>
      </c>
      <c r="E36" s="48">
        <f>5+3+6</f>
        <v>14</v>
      </c>
      <c r="F36" s="48">
        <f>18+5+2</f>
        <v>25</v>
      </c>
      <c r="G36" s="48">
        <f>13+10+5</f>
        <v>28</v>
      </c>
      <c r="H36" s="48">
        <f>3+4+4</f>
        <v>11</v>
      </c>
      <c r="I36" s="48">
        <f>5+8+11</f>
        <v>24</v>
      </c>
      <c r="J36" s="48">
        <f>2+9+4</f>
        <v>15</v>
      </c>
      <c r="K36" s="48">
        <f>0+1+3</f>
        <v>4</v>
      </c>
      <c r="L36" s="48">
        <v>11</v>
      </c>
      <c r="M36" s="48">
        <f>2+16+8</f>
        <v>26</v>
      </c>
      <c r="N36" s="48">
        <f>0+2+4</f>
        <v>6</v>
      </c>
      <c r="O36" s="49">
        <f>1+2+1</f>
        <v>4</v>
      </c>
      <c r="P36" s="50">
        <f t="shared" si="1"/>
        <v>181</v>
      </c>
    </row>
    <row r="37" spans="1:16" ht="13.5" thickBot="1">
      <c r="A37" s="128"/>
      <c r="B37" s="133" t="s">
        <v>8</v>
      </c>
      <c r="C37" s="21" t="s">
        <v>36</v>
      </c>
      <c r="D37" s="101">
        <f>SUM(D38:D46)</f>
        <v>7</v>
      </c>
      <c r="E37" s="102">
        <f aca="true" t="shared" si="4" ref="E37:O37">SUM(E38:E46)</f>
        <v>17</v>
      </c>
      <c r="F37" s="102">
        <f t="shared" si="4"/>
        <v>18</v>
      </c>
      <c r="G37" s="102">
        <f t="shared" si="4"/>
        <v>23</v>
      </c>
      <c r="H37" s="102">
        <f t="shared" si="4"/>
        <v>21</v>
      </c>
      <c r="I37" s="102">
        <f t="shared" si="4"/>
        <v>19</v>
      </c>
      <c r="J37" s="102">
        <f t="shared" si="4"/>
        <v>16</v>
      </c>
      <c r="K37" s="102">
        <f t="shared" si="4"/>
        <v>9</v>
      </c>
      <c r="L37" s="102">
        <f t="shared" si="4"/>
        <v>11</v>
      </c>
      <c r="M37" s="102">
        <f t="shared" si="4"/>
        <v>13</v>
      </c>
      <c r="N37" s="102">
        <f t="shared" si="4"/>
        <v>23</v>
      </c>
      <c r="O37" s="103">
        <f t="shared" si="4"/>
        <v>26</v>
      </c>
      <c r="P37" s="104">
        <f t="shared" si="1"/>
        <v>203</v>
      </c>
    </row>
    <row r="38" spans="1:16" ht="12.75">
      <c r="A38" s="128"/>
      <c r="B38" s="134"/>
      <c r="C38" s="111" t="s">
        <v>18</v>
      </c>
      <c r="D38" s="78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7">
        <v>0</v>
      </c>
      <c r="P38" s="105">
        <f t="shared" si="1"/>
        <v>0</v>
      </c>
    </row>
    <row r="39" spans="1:16" ht="21">
      <c r="A39" s="128"/>
      <c r="B39" s="134"/>
      <c r="C39" s="112" t="s">
        <v>3</v>
      </c>
      <c r="D39" s="7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7">
        <v>0</v>
      </c>
      <c r="P39" s="106">
        <f t="shared" si="1"/>
        <v>0</v>
      </c>
    </row>
    <row r="40" spans="1:16" ht="12.75">
      <c r="A40" s="128"/>
      <c r="B40" s="134"/>
      <c r="C40" s="112" t="s">
        <v>4</v>
      </c>
      <c r="D40" s="7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7">
        <v>0</v>
      </c>
      <c r="P40" s="106">
        <f t="shared" si="1"/>
        <v>0</v>
      </c>
    </row>
    <row r="41" spans="1:16" ht="12.75">
      <c r="A41" s="128"/>
      <c r="B41" s="134"/>
      <c r="C41" s="113" t="s">
        <v>0</v>
      </c>
      <c r="D41" s="7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7">
        <v>0</v>
      </c>
      <c r="P41" s="106">
        <f t="shared" si="1"/>
        <v>0</v>
      </c>
    </row>
    <row r="42" spans="1:16" ht="12.75">
      <c r="A42" s="128"/>
      <c r="B42" s="134"/>
      <c r="C42" s="112" t="s">
        <v>37</v>
      </c>
      <c r="D42" s="79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7">
        <v>0</v>
      </c>
      <c r="P42" s="106">
        <f t="shared" si="1"/>
        <v>0</v>
      </c>
    </row>
    <row r="43" spans="1:16" ht="12.75">
      <c r="A43" s="128"/>
      <c r="B43" s="134"/>
      <c r="C43" s="112" t="s">
        <v>38</v>
      </c>
      <c r="D43" s="7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7">
        <v>0</v>
      </c>
      <c r="P43" s="106">
        <f t="shared" si="1"/>
        <v>0</v>
      </c>
    </row>
    <row r="44" spans="1:16" ht="12.75">
      <c r="A44" s="128"/>
      <c r="B44" s="134"/>
      <c r="C44" s="112" t="s">
        <v>19</v>
      </c>
      <c r="D44" s="79">
        <v>7</v>
      </c>
      <c r="E44" s="17">
        <v>5</v>
      </c>
      <c r="F44" s="17">
        <v>8</v>
      </c>
      <c r="G44" s="17">
        <v>14</v>
      </c>
      <c r="H44" s="17">
        <v>9</v>
      </c>
      <c r="I44" s="17">
        <v>10</v>
      </c>
      <c r="J44" s="17">
        <v>5</v>
      </c>
      <c r="K44" s="17">
        <v>9</v>
      </c>
      <c r="L44" s="17">
        <v>11</v>
      </c>
      <c r="M44" s="17">
        <v>13</v>
      </c>
      <c r="N44" s="17">
        <v>14</v>
      </c>
      <c r="O44" s="27">
        <v>11</v>
      </c>
      <c r="P44" s="106">
        <f t="shared" si="1"/>
        <v>116</v>
      </c>
    </row>
    <row r="45" spans="1:16" ht="12.75">
      <c r="A45" s="128"/>
      <c r="B45" s="134"/>
      <c r="C45" s="112" t="s">
        <v>34</v>
      </c>
      <c r="D45" s="79">
        <v>0</v>
      </c>
      <c r="E45" s="17">
        <v>12</v>
      </c>
      <c r="F45" s="17">
        <v>10</v>
      </c>
      <c r="G45" s="17">
        <v>9</v>
      </c>
      <c r="H45" s="17">
        <v>12</v>
      </c>
      <c r="I45" s="17">
        <v>9</v>
      </c>
      <c r="J45" s="17">
        <v>11</v>
      </c>
      <c r="K45" s="17">
        <v>0</v>
      </c>
      <c r="L45" s="17">
        <v>0</v>
      </c>
      <c r="M45" s="17">
        <v>0</v>
      </c>
      <c r="N45" s="17">
        <v>9</v>
      </c>
      <c r="O45" s="27">
        <v>15</v>
      </c>
      <c r="P45" s="106">
        <f t="shared" si="1"/>
        <v>87</v>
      </c>
    </row>
    <row r="46" spans="1:16" ht="13.5" thickBot="1">
      <c r="A46" s="129"/>
      <c r="B46" s="135"/>
      <c r="C46" s="114" t="s">
        <v>35</v>
      </c>
      <c r="D46" s="107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9">
        <v>0</v>
      </c>
      <c r="P46" s="110">
        <f t="shared" si="1"/>
        <v>0</v>
      </c>
    </row>
    <row r="47" spans="4:15" ht="12.75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4:15" ht="12.7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4:15" ht="12.7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4:15" ht="12.7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4:15" ht="12.7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4:15" ht="12.7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4:15" ht="12.7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4:15" ht="12.7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ht="16.5" customHeight="1">
      <c r="C55" s="24"/>
    </row>
    <row r="56" ht="12.75">
      <c r="C56" s="24"/>
    </row>
    <row r="57" ht="12.75">
      <c r="C57" s="24"/>
    </row>
    <row r="58" ht="12.75">
      <c r="C58" s="24"/>
    </row>
    <row r="59" ht="12.75" customHeight="1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</sheetData>
  <mergeCells count="5">
    <mergeCell ref="D5:P5"/>
    <mergeCell ref="A7:A46"/>
    <mergeCell ref="B27:B36"/>
    <mergeCell ref="B37:B46"/>
    <mergeCell ref="B7:B2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Q4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72" customWidth="1"/>
    <col min="2" max="2" width="3.421875" style="72" customWidth="1"/>
    <col min="3" max="3" width="14.00390625" style="72" customWidth="1"/>
    <col min="4" max="16" width="6.00390625" style="72" customWidth="1"/>
    <col min="17" max="16384" width="9.140625" style="72" customWidth="1"/>
  </cols>
  <sheetData>
    <row r="1" spans="1:8" ht="18.75">
      <c r="A1" s="5" t="s">
        <v>40</v>
      </c>
      <c r="B1" s="2"/>
      <c r="C1" s="18"/>
      <c r="D1" s="2"/>
      <c r="E1" s="2"/>
      <c r="F1" s="2"/>
      <c r="G1" s="2"/>
      <c r="H1" s="2"/>
    </row>
    <row r="2" spans="1:8" ht="12.75">
      <c r="A2" s="8" t="s">
        <v>2</v>
      </c>
      <c r="B2" s="1"/>
      <c r="C2" s="25"/>
      <c r="D2" s="1"/>
      <c r="E2" s="1"/>
      <c r="F2" s="1"/>
      <c r="G2" s="1"/>
      <c r="H2" s="1"/>
    </row>
    <row r="3" ht="12.75">
      <c r="A3" s="7" t="s">
        <v>39</v>
      </c>
    </row>
    <row r="4" ht="9.75" customHeight="1" thickBot="1"/>
    <row r="5" spans="1:16" ht="13.5" thickBot="1">
      <c r="A5" s="1"/>
      <c r="B5" s="1"/>
      <c r="C5" s="25"/>
      <c r="D5" s="120">
        <v>2007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1:16" ht="48" thickBot="1">
      <c r="A6" s="1"/>
      <c r="B6" s="1"/>
      <c r="C6" s="25"/>
      <c r="D6" s="80" t="s">
        <v>20</v>
      </c>
      <c r="E6" s="82" t="s">
        <v>21</v>
      </c>
      <c r="F6" s="82" t="s">
        <v>22</v>
      </c>
      <c r="G6" s="82" t="s">
        <v>23</v>
      </c>
      <c r="H6" s="82" t="s">
        <v>24</v>
      </c>
      <c r="I6" s="82" t="s">
        <v>25</v>
      </c>
      <c r="J6" s="82" t="s">
        <v>26</v>
      </c>
      <c r="K6" s="82" t="s">
        <v>27</v>
      </c>
      <c r="L6" s="82" t="s">
        <v>28</v>
      </c>
      <c r="M6" s="82" t="s">
        <v>29</v>
      </c>
      <c r="N6" s="82" t="s">
        <v>30</v>
      </c>
      <c r="O6" s="81" t="s">
        <v>31</v>
      </c>
      <c r="P6" s="87" t="s">
        <v>32</v>
      </c>
    </row>
    <row r="7" spans="1:16" ht="13.5" thickBot="1">
      <c r="A7" s="127" t="s">
        <v>9</v>
      </c>
      <c r="B7" s="139" t="s">
        <v>12</v>
      </c>
      <c r="C7" s="21" t="s">
        <v>36</v>
      </c>
      <c r="D7" s="73">
        <f>SUM(D8:D16)</f>
        <v>13925</v>
      </c>
      <c r="E7" s="74">
        <f aca="true" t="shared" si="0" ref="E7:O7">SUM(E8:E16)</f>
        <v>16661</v>
      </c>
      <c r="F7" s="74">
        <f t="shared" si="0"/>
        <v>19534</v>
      </c>
      <c r="G7" s="74">
        <f t="shared" si="0"/>
        <v>20282</v>
      </c>
      <c r="H7" s="74">
        <f t="shared" si="0"/>
        <v>20712</v>
      </c>
      <c r="I7" s="74">
        <f t="shared" si="0"/>
        <v>17175</v>
      </c>
      <c r="J7" s="74">
        <f t="shared" si="0"/>
        <v>19762</v>
      </c>
      <c r="K7" s="74">
        <f t="shared" si="0"/>
        <v>18669</v>
      </c>
      <c r="L7" s="74">
        <f t="shared" si="0"/>
        <v>16308</v>
      </c>
      <c r="M7" s="74">
        <f t="shared" si="0"/>
        <v>23524</v>
      </c>
      <c r="N7" s="74">
        <f t="shared" si="0"/>
        <v>19334</v>
      </c>
      <c r="O7" s="75">
        <f t="shared" si="0"/>
        <v>21198</v>
      </c>
      <c r="P7" s="99">
        <f>SUM(D7:O7)</f>
        <v>227084</v>
      </c>
    </row>
    <row r="8" spans="1:17" ht="12.75">
      <c r="A8" s="128"/>
      <c r="B8" s="140"/>
      <c r="C8" s="111" t="s">
        <v>18</v>
      </c>
      <c r="D8" s="40">
        <v>1610</v>
      </c>
      <c r="E8" s="40">
        <v>1426</v>
      </c>
      <c r="F8" s="40">
        <v>2361</v>
      </c>
      <c r="G8" s="40">
        <v>2222</v>
      </c>
      <c r="H8" s="40">
        <v>2281</v>
      </c>
      <c r="I8" s="40">
        <v>1728</v>
      </c>
      <c r="J8" s="40">
        <v>1909</v>
      </c>
      <c r="K8" s="40">
        <v>1542</v>
      </c>
      <c r="L8" s="40">
        <v>1533</v>
      </c>
      <c r="M8" s="40">
        <v>2012</v>
      </c>
      <c r="N8" s="40">
        <v>2338</v>
      </c>
      <c r="O8" s="40">
        <v>2623</v>
      </c>
      <c r="P8" s="42">
        <f aca="true" t="shared" si="1" ref="P8:P36">SUM(D8:O8)</f>
        <v>23585</v>
      </c>
      <c r="Q8" s="115"/>
    </row>
    <row r="9" spans="1:17" ht="21">
      <c r="A9" s="128"/>
      <c r="B9" s="140"/>
      <c r="C9" s="112" t="s">
        <v>3</v>
      </c>
      <c r="D9" s="43">
        <v>3086</v>
      </c>
      <c r="E9" s="43">
        <v>3575</v>
      </c>
      <c r="F9" s="43">
        <v>4795</v>
      </c>
      <c r="G9" s="43">
        <v>5441</v>
      </c>
      <c r="H9" s="43">
        <v>5472</v>
      </c>
      <c r="I9" s="43">
        <v>4388</v>
      </c>
      <c r="J9" s="43">
        <v>5259</v>
      </c>
      <c r="K9" s="43">
        <v>4057</v>
      </c>
      <c r="L9" s="43">
        <v>3926</v>
      </c>
      <c r="M9" s="43">
        <v>3924</v>
      </c>
      <c r="N9" s="43">
        <v>4130</v>
      </c>
      <c r="O9" s="43">
        <v>5114</v>
      </c>
      <c r="P9" s="45">
        <f t="shared" si="1"/>
        <v>53167</v>
      </c>
      <c r="Q9" s="115"/>
    </row>
    <row r="10" spans="1:17" ht="12.75">
      <c r="A10" s="128"/>
      <c r="B10" s="140"/>
      <c r="C10" s="112" t="s">
        <v>4</v>
      </c>
      <c r="D10" s="46">
        <v>1675</v>
      </c>
      <c r="E10" s="46">
        <v>2746</v>
      </c>
      <c r="F10" s="46">
        <v>2008</v>
      </c>
      <c r="G10" s="46">
        <v>2713</v>
      </c>
      <c r="H10" s="46">
        <v>2633</v>
      </c>
      <c r="I10" s="46">
        <v>2049</v>
      </c>
      <c r="J10" s="46">
        <v>2632</v>
      </c>
      <c r="K10" s="46">
        <v>2742</v>
      </c>
      <c r="L10" s="46">
        <v>1775</v>
      </c>
      <c r="M10" s="46">
        <v>2418</v>
      </c>
      <c r="N10" s="46">
        <v>2686</v>
      </c>
      <c r="O10" s="46">
        <v>2553</v>
      </c>
      <c r="P10" s="45">
        <f t="shared" si="1"/>
        <v>28630</v>
      </c>
      <c r="Q10" s="115"/>
    </row>
    <row r="11" spans="1:17" ht="12.75">
      <c r="A11" s="128"/>
      <c r="B11" s="140"/>
      <c r="C11" s="113" t="s">
        <v>0</v>
      </c>
      <c r="D11" s="46">
        <v>1952</v>
      </c>
      <c r="E11" s="46">
        <v>2874</v>
      </c>
      <c r="F11" s="46">
        <v>3162</v>
      </c>
      <c r="G11" s="46">
        <v>2611</v>
      </c>
      <c r="H11" s="46">
        <v>3157</v>
      </c>
      <c r="I11" s="46">
        <v>2637</v>
      </c>
      <c r="J11" s="46">
        <v>2458</v>
      </c>
      <c r="K11" s="46">
        <v>3399</v>
      </c>
      <c r="L11" s="46">
        <v>2273</v>
      </c>
      <c r="M11" s="46">
        <v>5339</v>
      </c>
      <c r="N11" s="46">
        <v>2846</v>
      </c>
      <c r="O11" s="46">
        <v>3528</v>
      </c>
      <c r="P11" s="45">
        <f t="shared" si="1"/>
        <v>36236</v>
      </c>
      <c r="Q11" s="115"/>
    </row>
    <row r="12" spans="1:17" ht="12.75">
      <c r="A12" s="128"/>
      <c r="B12" s="140"/>
      <c r="C12" s="112" t="s">
        <v>37</v>
      </c>
      <c r="D12" s="46">
        <v>1002</v>
      </c>
      <c r="E12" s="46">
        <v>1193</v>
      </c>
      <c r="F12" s="46">
        <v>1548</v>
      </c>
      <c r="G12" s="46">
        <v>1433</v>
      </c>
      <c r="H12" s="46">
        <v>1387</v>
      </c>
      <c r="I12" s="46">
        <v>1167</v>
      </c>
      <c r="J12" s="46">
        <v>1204</v>
      </c>
      <c r="K12" s="46">
        <v>1244</v>
      </c>
      <c r="L12" s="46">
        <v>1442</v>
      </c>
      <c r="M12" s="46">
        <v>1136</v>
      </c>
      <c r="N12" s="46">
        <v>1397</v>
      </c>
      <c r="O12" s="46">
        <v>1395</v>
      </c>
      <c r="P12" s="45">
        <f t="shared" si="1"/>
        <v>15548</v>
      </c>
      <c r="Q12" s="115"/>
    </row>
    <row r="13" spans="1:17" ht="12.75">
      <c r="A13" s="128"/>
      <c r="B13" s="140"/>
      <c r="C13" s="112" t="s">
        <v>38</v>
      </c>
      <c r="D13" s="46">
        <v>1004</v>
      </c>
      <c r="E13" s="46">
        <v>1320</v>
      </c>
      <c r="F13" s="46">
        <v>1587</v>
      </c>
      <c r="G13" s="46">
        <v>1309</v>
      </c>
      <c r="H13" s="46">
        <v>1351</v>
      </c>
      <c r="I13" s="46">
        <v>1257</v>
      </c>
      <c r="J13" s="46">
        <v>1519</v>
      </c>
      <c r="K13" s="46">
        <v>1579</v>
      </c>
      <c r="L13" s="46">
        <v>1696</v>
      </c>
      <c r="M13" s="46">
        <v>2099</v>
      </c>
      <c r="N13" s="46">
        <v>1378</v>
      </c>
      <c r="O13" s="46">
        <v>1408</v>
      </c>
      <c r="P13" s="45">
        <f t="shared" si="1"/>
        <v>17507</v>
      </c>
      <c r="Q13" s="115"/>
    </row>
    <row r="14" spans="1:17" ht="12.75">
      <c r="A14" s="128"/>
      <c r="B14" s="140"/>
      <c r="C14" s="112" t="s">
        <v>19</v>
      </c>
      <c r="D14" s="46">
        <v>2087</v>
      </c>
      <c r="E14" s="46">
        <v>1421</v>
      </c>
      <c r="F14" s="46">
        <v>1866</v>
      </c>
      <c r="G14" s="46">
        <v>1958</v>
      </c>
      <c r="H14" s="46">
        <v>2082</v>
      </c>
      <c r="I14" s="46">
        <v>1899</v>
      </c>
      <c r="J14" s="46">
        <v>1899</v>
      </c>
      <c r="K14" s="46">
        <v>1713</v>
      </c>
      <c r="L14" s="46">
        <v>1498</v>
      </c>
      <c r="M14" s="46">
        <v>2794</v>
      </c>
      <c r="N14" s="46">
        <v>1954</v>
      </c>
      <c r="O14" s="46">
        <v>2133</v>
      </c>
      <c r="P14" s="45">
        <f t="shared" si="1"/>
        <v>23304</v>
      </c>
      <c r="Q14" s="115"/>
    </row>
    <row r="15" spans="1:17" ht="12.75">
      <c r="A15" s="128"/>
      <c r="B15" s="140"/>
      <c r="C15" s="112" t="s">
        <v>34</v>
      </c>
      <c r="D15" s="46">
        <v>1056</v>
      </c>
      <c r="E15" s="46">
        <v>1478</v>
      </c>
      <c r="F15" s="46">
        <v>1382</v>
      </c>
      <c r="G15" s="46">
        <v>1522</v>
      </c>
      <c r="H15" s="46">
        <v>1466</v>
      </c>
      <c r="I15" s="46">
        <v>1359</v>
      </c>
      <c r="J15" s="46">
        <v>1808</v>
      </c>
      <c r="K15" s="46">
        <v>1417</v>
      </c>
      <c r="L15" s="46">
        <v>1283</v>
      </c>
      <c r="M15" s="46">
        <v>1645</v>
      </c>
      <c r="N15" s="46">
        <v>1776</v>
      </c>
      <c r="O15" s="46">
        <v>1643</v>
      </c>
      <c r="P15" s="45">
        <f t="shared" si="1"/>
        <v>17835</v>
      </c>
      <c r="Q15" s="115"/>
    </row>
    <row r="16" spans="1:17" ht="13.5" thickBot="1">
      <c r="A16" s="128"/>
      <c r="B16" s="141"/>
      <c r="C16" s="114" t="s">
        <v>35</v>
      </c>
      <c r="D16" s="48">
        <v>453</v>
      </c>
      <c r="E16" s="48">
        <v>628</v>
      </c>
      <c r="F16" s="48">
        <v>825</v>
      </c>
      <c r="G16" s="48">
        <v>1073</v>
      </c>
      <c r="H16" s="48">
        <v>883</v>
      </c>
      <c r="I16" s="48">
        <v>691</v>
      </c>
      <c r="J16" s="48">
        <v>1074</v>
      </c>
      <c r="K16" s="48">
        <v>976</v>
      </c>
      <c r="L16" s="48">
        <v>882</v>
      </c>
      <c r="M16" s="48">
        <v>2157</v>
      </c>
      <c r="N16" s="48">
        <v>829</v>
      </c>
      <c r="O16" s="48">
        <v>801</v>
      </c>
      <c r="P16" s="50">
        <f t="shared" si="1"/>
        <v>11272</v>
      </c>
      <c r="Q16" s="115"/>
    </row>
    <row r="17" spans="1:17" ht="13.5" thickBot="1">
      <c r="A17" s="128"/>
      <c r="B17" s="142" t="s">
        <v>10</v>
      </c>
      <c r="C17" s="21" t="s">
        <v>36</v>
      </c>
      <c r="D17" s="73">
        <f>SUM(D18:D26)</f>
        <v>7678</v>
      </c>
      <c r="E17" s="74">
        <f aca="true" t="shared" si="2" ref="E17:O17">SUM(E18:E26)</f>
        <v>8846</v>
      </c>
      <c r="F17" s="74">
        <f t="shared" si="2"/>
        <v>11978</v>
      </c>
      <c r="G17" s="74">
        <f t="shared" si="2"/>
        <v>11204</v>
      </c>
      <c r="H17" s="74">
        <f t="shared" si="2"/>
        <v>12609</v>
      </c>
      <c r="I17" s="74">
        <f t="shared" si="2"/>
        <v>10551</v>
      </c>
      <c r="J17" s="74">
        <f t="shared" si="2"/>
        <v>11934</v>
      </c>
      <c r="K17" s="74">
        <v>1296</v>
      </c>
      <c r="L17" s="74">
        <f t="shared" si="2"/>
        <v>11002</v>
      </c>
      <c r="M17" s="74">
        <f t="shared" si="2"/>
        <v>12186</v>
      </c>
      <c r="N17" s="74">
        <f t="shared" si="2"/>
        <v>12867</v>
      </c>
      <c r="O17" s="75">
        <f t="shared" si="2"/>
        <v>15173</v>
      </c>
      <c r="P17" s="99">
        <f t="shared" si="1"/>
        <v>127324</v>
      </c>
      <c r="Q17" s="115"/>
    </row>
    <row r="18" spans="1:17" ht="12.75">
      <c r="A18" s="128"/>
      <c r="B18" s="143"/>
      <c r="C18" s="111" t="s">
        <v>18</v>
      </c>
      <c r="D18" s="40">
        <v>997</v>
      </c>
      <c r="E18" s="40">
        <v>1106</v>
      </c>
      <c r="F18" s="40">
        <v>1605</v>
      </c>
      <c r="G18" s="40">
        <v>1406</v>
      </c>
      <c r="H18" s="40">
        <v>1474</v>
      </c>
      <c r="I18" s="40">
        <v>1272</v>
      </c>
      <c r="J18" s="40">
        <v>1452</v>
      </c>
      <c r="K18" s="40">
        <v>1261</v>
      </c>
      <c r="L18" s="40">
        <v>1260</v>
      </c>
      <c r="M18" s="40">
        <v>1333</v>
      </c>
      <c r="N18" s="40">
        <v>1585</v>
      </c>
      <c r="O18" s="40">
        <v>2061</v>
      </c>
      <c r="P18" s="42">
        <f t="shared" si="1"/>
        <v>16812</v>
      </c>
      <c r="Q18" s="115"/>
    </row>
    <row r="19" spans="1:17" ht="21">
      <c r="A19" s="128"/>
      <c r="B19" s="143"/>
      <c r="C19" s="112" t="s">
        <v>3</v>
      </c>
      <c r="D19" s="43">
        <v>1806</v>
      </c>
      <c r="E19" s="43">
        <v>2148</v>
      </c>
      <c r="F19" s="43">
        <v>2808</v>
      </c>
      <c r="G19" s="43">
        <v>2862</v>
      </c>
      <c r="H19" s="43">
        <v>3329</v>
      </c>
      <c r="I19" s="43">
        <v>2686</v>
      </c>
      <c r="J19" s="43">
        <v>3004</v>
      </c>
      <c r="K19" s="43">
        <v>3085</v>
      </c>
      <c r="L19" s="43">
        <v>2853</v>
      </c>
      <c r="M19" s="43">
        <v>2787</v>
      </c>
      <c r="N19" s="43">
        <v>3205</v>
      </c>
      <c r="O19" s="43">
        <v>3967</v>
      </c>
      <c r="P19" s="45">
        <f t="shared" si="1"/>
        <v>34540</v>
      </c>
      <c r="Q19" s="115"/>
    </row>
    <row r="20" spans="1:17" ht="12.75">
      <c r="A20" s="128"/>
      <c r="B20" s="143"/>
      <c r="C20" s="112" t="s">
        <v>4</v>
      </c>
      <c r="D20" s="46">
        <v>912</v>
      </c>
      <c r="E20" s="46">
        <v>1000</v>
      </c>
      <c r="F20" s="46">
        <v>1399</v>
      </c>
      <c r="G20" s="46">
        <v>1332</v>
      </c>
      <c r="H20" s="46">
        <v>1487</v>
      </c>
      <c r="I20" s="46">
        <v>1243</v>
      </c>
      <c r="J20" s="46">
        <v>1405</v>
      </c>
      <c r="K20" s="46">
        <v>1389</v>
      </c>
      <c r="L20" s="46">
        <v>1291</v>
      </c>
      <c r="M20" s="46">
        <v>1629</v>
      </c>
      <c r="N20" s="46">
        <v>1627</v>
      </c>
      <c r="O20" s="46">
        <v>1838</v>
      </c>
      <c r="P20" s="45">
        <f t="shared" si="1"/>
        <v>16552</v>
      </c>
      <c r="Q20" s="115"/>
    </row>
    <row r="21" spans="1:17" ht="12.75">
      <c r="A21" s="128"/>
      <c r="B21" s="143"/>
      <c r="C21" s="113" t="s">
        <v>0</v>
      </c>
      <c r="D21" s="46">
        <v>1163</v>
      </c>
      <c r="E21" s="46">
        <v>1477</v>
      </c>
      <c r="F21" s="46">
        <v>1908</v>
      </c>
      <c r="G21" s="46">
        <v>1723</v>
      </c>
      <c r="H21" s="46">
        <v>2083</v>
      </c>
      <c r="I21" s="46">
        <v>1736</v>
      </c>
      <c r="J21" s="46">
        <v>1854</v>
      </c>
      <c r="K21" s="46">
        <v>1767</v>
      </c>
      <c r="L21" s="46">
        <v>1620</v>
      </c>
      <c r="M21" s="46">
        <v>2176</v>
      </c>
      <c r="N21" s="46">
        <v>2212</v>
      </c>
      <c r="O21" s="46">
        <v>2561</v>
      </c>
      <c r="P21" s="45">
        <f t="shared" si="1"/>
        <v>22280</v>
      </c>
      <c r="Q21" s="115"/>
    </row>
    <row r="22" spans="1:17" ht="12.75">
      <c r="A22" s="128"/>
      <c r="B22" s="143"/>
      <c r="C22" s="112" t="s">
        <v>37</v>
      </c>
      <c r="D22" s="46">
        <v>648</v>
      </c>
      <c r="E22" s="46">
        <v>778</v>
      </c>
      <c r="F22" s="46">
        <v>1106</v>
      </c>
      <c r="G22" s="46">
        <v>983</v>
      </c>
      <c r="H22" s="46">
        <v>987</v>
      </c>
      <c r="I22" s="46">
        <v>774</v>
      </c>
      <c r="J22" s="46">
        <v>926</v>
      </c>
      <c r="K22" s="46">
        <v>987</v>
      </c>
      <c r="L22" s="46">
        <v>825</v>
      </c>
      <c r="M22" s="46">
        <v>819</v>
      </c>
      <c r="N22" s="46">
        <v>988</v>
      </c>
      <c r="O22" s="46">
        <v>1059</v>
      </c>
      <c r="P22" s="45">
        <f t="shared" si="1"/>
        <v>10880</v>
      </c>
      <c r="Q22" s="115"/>
    </row>
    <row r="23" spans="1:17" ht="12.75">
      <c r="A23" s="128"/>
      <c r="B23" s="143"/>
      <c r="C23" s="112" t="s">
        <v>38</v>
      </c>
      <c r="D23" s="46">
        <v>550</v>
      </c>
      <c r="E23" s="46">
        <v>593</v>
      </c>
      <c r="F23" s="46">
        <v>765</v>
      </c>
      <c r="G23" s="46">
        <v>674</v>
      </c>
      <c r="H23" s="46">
        <v>690</v>
      </c>
      <c r="I23" s="46">
        <v>672</v>
      </c>
      <c r="J23" s="46">
        <v>740</v>
      </c>
      <c r="K23" s="46">
        <v>822</v>
      </c>
      <c r="L23" s="46">
        <v>723</v>
      </c>
      <c r="M23" s="46">
        <v>908</v>
      </c>
      <c r="N23" s="46">
        <v>795</v>
      </c>
      <c r="O23" s="46">
        <v>808</v>
      </c>
      <c r="P23" s="45">
        <f t="shared" si="1"/>
        <v>8740</v>
      </c>
      <c r="Q23" s="115"/>
    </row>
    <row r="24" spans="1:17" ht="12.75">
      <c r="A24" s="128"/>
      <c r="B24" s="143"/>
      <c r="C24" s="112" t="s">
        <v>19</v>
      </c>
      <c r="D24" s="46">
        <v>684</v>
      </c>
      <c r="E24" s="46">
        <v>661</v>
      </c>
      <c r="F24" s="46">
        <v>834</v>
      </c>
      <c r="G24" s="46">
        <v>857</v>
      </c>
      <c r="H24" s="46">
        <v>1001</v>
      </c>
      <c r="I24" s="46">
        <v>836</v>
      </c>
      <c r="J24" s="46">
        <v>979</v>
      </c>
      <c r="K24" s="46">
        <v>974</v>
      </c>
      <c r="L24" s="46">
        <v>865</v>
      </c>
      <c r="M24" s="46">
        <v>1008</v>
      </c>
      <c r="N24" s="46">
        <v>954</v>
      </c>
      <c r="O24" s="46">
        <v>1087</v>
      </c>
      <c r="P24" s="45">
        <f t="shared" si="1"/>
        <v>10740</v>
      </c>
      <c r="Q24" s="115"/>
    </row>
    <row r="25" spans="1:17" ht="12.75">
      <c r="A25" s="128"/>
      <c r="B25" s="143"/>
      <c r="C25" s="112" t="s">
        <v>34</v>
      </c>
      <c r="D25" s="46">
        <v>577</v>
      </c>
      <c r="E25" s="46">
        <v>677</v>
      </c>
      <c r="F25" s="46">
        <v>924</v>
      </c>
      <c r="G25" s="46">
        <v>843</v>
      </c>
      <c r="H25" s="46">
        <v>972</v>
      </c>
      <c r="I25" s="46">
        <v>850</v>
      </c>
      <c r="J25" s="46">
        <v>1000</v>
      </c>
      <c r="K25" s="46">
        <v>988</v>
      </c>
      <c r="L25" s="46">
        <v>879</v>
      </c>
      <c r="M25" s="46">
        <v>902</v>
      </c>
      <c r="N25" s="46">
        <v>941</v>
      </c>
      <c r="O25" s="46">
        <v>1163</v>
      </c>
      <c r="P25" s="45">
        <f t="shared" si="1"/>
        <v>10716</v>
      </c>
      <c r="Q25" s="115"/>
    </row>
    <row r="26" spans="1:17" ht="13.5" thickBot="1">
      <c r="A26" s="128"/>
      <c r="B26" s="144"/>
      <c r="C26" s="114" t="s">
        <v>35</v>
      </c>
      <c r="D26" s="48">
        <v>341</v>
      </c>
      <c r="E26" s="48">
        <v>406</v>
      </c>
      <c r="F26" s="48">
        <v>629</v>
      </c>
      <c r="G26" s="48">
        <v>524</v>
      </c>
      <c r="H26" s="48">
        <v>586</v>
      </c>
      <c r="I26" s="48">
        <v>482</v>
      </c>
      <c r="J26" s="48">
        <v>574</v>
      </c>
      <c r="K26" s="48">
        <v>575</v>
      </c>
      <c r="L26" s="48">
        <v>686</v>
      </c>
      <c r="M26" s="48">
        <v>624</v>
      </c>
      <c r="N26" s="48">
        <v>560</v>
      </c>
      <c r="O26" s="48">
        <v>629</v>
      </c>
      <c r="P26" s="50">
        <f t="shared" si="1"/>
        <v>6616</v>
      </c>
      <c r="Q26" s="115"/>
    </row>
    <row r="27" spans="1:16" ht="21.75" thickBot="1">
      <c r="A27" s="128"/>
      <c r="B27" s="133" t="s">
        <v>11</v>
      </c>
      <c r="C27" s="100" t="s">
        <v>46</v>
      </c>
      <c r="D27" s="73">
        <f>SUM(D28:D36)</f>
        <v>22134</v>
      </c>
      <c r="E27" s="74">
        <f aca="true" t="shared" si="3" ref="E27:O27">SUM(E28:E36)</f>
        <v>17049</v>
      </c>
      <c r="F27" s="74">
        <f t="shared" si="3"/>
        <v>25964</v>
      </c>
      <c r="G27" s="74">
        <f t="shared" si="3"/>
        <v>25275</v>
      </c>
      <c r="H27" s="74">
        <f t="shared" si="3"/>
        <v>31503</v>
      </c>
      <c r="I27" s="74">
        <f t="shared" si="3"/>
        <v>27619</v>
      </c>
      <c r="J27" s="74">
        <f t="shared" si="3"/>
        <v>32894</v>
      </c>
      <c r="K27" s="74">
        <f t="shared" si="3"/>
        <v>33516</v>
      </c>
      <c r="L27" s="74">
        <f t="shared" si="3"/>
        <v>29359</v>
      </c>
      <c r="M27" s="74">
        <f t="shared" si="3"/>
        <v>38919</v>
      </c>
      <c r="N27" s="74">
        <f t="shared" si="3"/>
        <v>62103</v>
      </c>
      <c r="O27" s="75">
        <f t="shared" si="3"/>
        <v>57027</v>
      </c>
      <c r="P27" s="99">
        <f t="shared" si="1"/>
        <v>403362</v>
      </c>
    </row>
    <row r="28" spans="1:17" ht="12.75">
      <c r="A28" s="128"/>
      <c r="B28" s="134"/>
      <c r="C28" s="111" t="s">
        <v>18</v>
      </c>
      <c r="D28" s="40">
        <v>7991</v>
      </c>
      <c r="E28" s="40">
        <v>4284</v>
      </c>
      <c r="F28" s="40">
        <v>8821</v>
      </c>
      <c r="G28" s="40">
        <v>6803</v>
      </c>
      <c r="H28" s="40">
        <v>9977</v>
      </c>
      <c r="I28" s="40">
        <v>9113</v>
      </c>
      <c r="J28" s="40">
        <v>13867</v>
      </c>
      <c r="K28" s="40">
        <v>10531</v>
      </c>
      <c r="L28" s="40">
        <v>9336</v>
      </c>
      <c r="M28" s="40">
        <v>16686</v>
      </c>
      <c r="N28" s="40">
        <v>35010</v>
      </c>
      <c r="O28" s="40">
        <v>23016</v>
      </c>
      <c r="P28" s="42">
        <f t="shared" si="1"/>
        <v>155435</v>
      </c>
      <c r="Q28" s="115"/>
    </row>
    <row r="29" spans="1:17" ht="21">
      <c r="A29" s="128"/>
      <c r="B29" s="134"/>
      <c r="C29" s="112" t="s">
        <v>3</v>
      </c>
      <c r="D29" s="46">
        <v>4322</v>
      </c>
      <c r="E29" s="46">
        <v>4805</v>
      </c>
      <c r="F29" s="46">
        <v>5359</v>
      </c>
      <c r="G29" s="46">
        <v>7080</v>
      </c>
      <c r="H29" s="46">
        <v>6960</v>
      </c>
      <c r="I29" s="46">
        <v>6502</v>
      </c>
      <c r="J29" s="46">
        <v>6196</v>
      </c>
      <c r="K29" s="46">
        <v>7582</v>
      </c>
      <c r="L29" s="46">
        <v>7197</v>
      </c>
      <c r="M29" s="46">
        <v>6371</v>
      </c>
      <c r="N29" s="46">
        <v>9329</v>
      </c>
      <c r="O29" s="46">
        <v>10904</v>
      </c>
      <c r="P29" s="45">
        <f t="shared" si="1"/>
        <v>82607</v>
      </c>
      <c r="Q29" s="115"/>
    </row>
    <row r="30" spans="1:17" ht="12.75">
      <c r="A30" s="128"/>
      <c r="B30" s="134"/>
      <c r="C30" s="112" t="s">
        <v>4</v>
      </c>
      <c r="D30" s="46">
        <v>2161</v>
      </c>
      <c r="E30" s="46">
        <v>1359</v>
      </c>
      <c r="F30" s="46">
        <v>2147</v>
      </c>
      <c r="G30" s="46">
        <v>2603</v>
      </c>
      <c r="H30" s="46">
        <v>2538</v>
      </c>
      <c r="I30" s="46">
        <v>2689</v>
      </c>
      <c r="J30" s="46">
        <v>2474</v>
      </c>
      <c r="K30" s="46">
        <v>3450</v>
      </c>
      <c r="L30" s="46">
        <v>2807</v>
      </c>
      <c r="M30" s="46">
        <v>3376</v>
      </c>
      <c r="N30" s="46">
        <v>4060</v>
      </c>
      <c r="O30" s="46">
        <v>5523</v>
      </c>
      <c r="P30" s="45">
        <f t="shared" si="1"/>
        <v>35187</v>
      </c>
      <c r="Q30" s="115"/>
    </row>
    <row r="31" spans="1:17" ht="12.75">
      <c r="A31" s="128"/>
      <c r="B31" s="134"/>
      <c r="C31" s="113" t="s">
        <v>0</v>
      </c>
      <c r="D31" s="46">
        <v>4007</v>
      </c>
      <c r="E31" s="46">
        <v>3169</v>
      </c>
      <c r="F31" s="46">
        <v>4181</v>
      </c>
      <c r="G31" s="46">
        <v>4114</v>
      </c>
      <c r="H31" s="46">
        <v>6284</v>
      </c>
      <c r="I31" s="46">
        <v>4336</v>
      </c>
      <c r="J31" s="46">
        <v>5492</v>
      </c>
      <c r="K31" s="46">
        <v>4641</v>
      </c>
      <c r="L31" s="46">
        <v>3916</v>
      </c>
      <c r="M31" s="46">
        <v>6737</v>
      </c>
      <c r="N31" s="46">
        <v>6224</v>
      </c>
      <c r="O31" s="46">
        <v>9419</v>
      </c>
      <c r="P31" s="45">
        <f t="shared" si="1"/>
        <v>62520</v>
      </c>
      <c r="Q31" s="115"/>
    </row>
    <row r="32" spans="1:17" ht="12.75">
      <c r="A32" s="128"/>
      <c r="B32" s="134"/>
      <c r="C32" s="112" t="s">
        <v>37</v>
      </c>
      <c r="D32" s="46">
        <v>1127</v>
      </c>
      <c r="E32" s="46">
        <v>1215</v>
      </c>
      <c r="F32" s="46">
        <v>1823</v>
      </c>
      <c r="G32" s="46">
        <v>1264</v>
      </c>
      <c r="H32" s="46">
        <v>1587</v>
      </c>
      <c r="I32" s="46">
        <v>1268</v>
      </c>
      <c r="J32" s="46">
        <v>1220</v>
      </c>
      <c r="K32" s="46">
        <v>1916</v>
      </c>
      <c r="L32" s="46">
        <v>1590</v>
      </c>
      <c r="M32" s="46">
        <v>1164</v>
      </c>
      <c r="N32" s="46">
        <v>1745</v>
      </c>
      <c r="O32" s="46">
        <v>1955</v>
      </c>
      <c r="P32" s="45">
        <f t="shared" si="1"/>
        <v>17874</v>
      </c>
      <c r="Q32" s="115"/>
    </row>
    <row r="33" spans="1:17" ht="12.75">
      <c r="A33" s="128"/>
      <c r="B33" s="134"/>
      <c r="C33" s="112" t="s">
        <v>38</v>
      </c>
      <c r="D33" s="46">
        <v>635</v>
      </c>
      <c r="E33" s="46">
        <v>483</v>
      </c>
      <c r="F33" s="46">
        <v>759</v>
      </c>
      <c r="G33" s="46">
        <v>776</v>
      </c>
      <c r="H33" s="46">
        <v>829</v>
      </c>
      <c r="I33" s="46">
        <v>731</v>
      </c>
      <c r="J33" s="46">
        <v>751</v>
      </c>
      <c r="K33" s="46">
        <v>879</v>
      </c>
      <c r="L33" s="46">
        <v>910</v>
      </c>
      <c r="M33" s="46">
        <v>830</v>
      </c>
      <c r="N33" s="46">
        <v>1047</v>
      </c>
      <c r="O33" s="46">
        <v>1018</v>
      </c>
      <c r="P33" s="45">
        <f t="shared" si="1"/>
        <v>9648</v>
      </c>
      <c r="Q33" s="115"/>
    </row>
    <row r="34" spans="1:17" ht="12.75">
      <c r="A34" s="128"/>
      <c r="B34" s="134"/>
      <c r="C34" s="112" t="s">
        <v>19</v>
      </c>
      <c r="D34" s="46">
        <v>712</v>
      </c>
      <c r="E34" s="46">
        <v>635</v>
      </c>
      <c r="F34" s="46">
        <v>704</v>
      </c>
      <c r="G34" s="46">
        <v>1005</v>
      </c>
      <c r="H34" s="46">
        <v>1062</v>
      </c>
      <c r="I34" s="46">
        <v>813</v>
      </c>
      <c r="J34" s="46">
        <v>962</v>
      </c>
      <c r="K34" s="46">
        <v>1577</v>
      </c>
      <c r="L34" s="46">
        <v>896</v>
      </c>
      <c r="M34" s="46">
        <v>1116</v>
      </c>
      <c r="N34" s="46">
        <v>1303</v>
      </c>
      <c r="O34" s="46">
        <v>1856</v>
      </c>
      <c r="P34" s="45">
        <f t="shared" si="1"/>
        <v>12641</v>
      </c>
      <c r="Q34" s="115"/>
    </row>
    <row r="35" spans="1:17" ht="12.75">
      <c r="A35" s="128"/>
      <c r="B35" s="134"/>
      <c r="C35" s="112" t="s">
        <v>34</v>
      </c>
      <c r="D35" s="46">
        <v>846</v>
      </c>
      <c r="E35" s="46">
        <v>753</v>
      </c>
      <c r="F35" s="46">
        <v>1558</v>
      </c>
      <c r="G35" s="46">
        <v>1172</v>
      </c>
      <c r="H35" s="46">
        <v>1518</v>
      </c>
      <c r="I35" s="46">
        <v>1489</v>
      </c>
      <c r="J35" s="46">
        <v>1328</v>
      </c>
      <c r="K35" s="46">
        <v>2177</v>
      </c>
      <c r="L35" s="46">
        <v>1980</v>
      </c>
      <c r="M35" s="46">
        <v>1883</v>
      </c>
      <c r="N35" s="46">
        <v>2417</v>
      </c>
      <c r="O35" s="46">
        <v>2447</v>
      </c>
      <c r="P35" s="45">
        <f t="shared" si="1"/>
        <v>19568</v>
      </c>
      <c r="Q35" s="115"/>
    </row>
    <row r="36" spans="1:17" ht="13.5" thickBot="1">
      <c r="A36" s="129"/>
      <c r="B36" s="135"/>
      <c r="C36" s="114" t="s">
        <v>35</v>
      </c>
      <c r="D36" s="51">
        <v>333</v>
      </c>
      <c r="E36" s="51">
        <v>346</v>
      </c>
      <c r="F36" s="51">
        <v>612</v>
      </c>
      <c r="G36" s="51">
        <v>458</v>
      </c>
      <c r="H36" s="51">
        <v>748</v>
      </c>
      <c r="I36" s="51">
        <v>678</v>
      </c>
      <c r="J36" s="51">
        <v>604</v>
      </c>
      <c r="K36" s="51">
        <v>763</v>
      </c>
      <c r="L36" s="51">
        <v>727</v>
      </c>
      <c r="M36" s="51">
        <v>756</v>
      </c>
      <c r="N36" s="51">
        <v>968</v>
      </c>
      <c r="O36" s="51">
        <v>889</v>
      </c>
      <c r="P36" s="52">
        <f t="shared" si="1"/>
        <v>7882</v>
      </c>
      <c r="Q36" s="115"/>
    </row>
    <row r="37" ht="12.75">
      <c r="K37" s="116"/>
    </row>
    <row r="41" ht="12.75">
      <c r="N41" s="1"/>
    </row>
  </sheetData>
  <mergeCells count="5">
    <mergeCell ref="D5:P5"/>
    <mergeCell ref="A7:A36"/>
    <mergeCell ref="B7:B16"/>
    <mergeCell ref="B17:B26"/>
    <mergeCell ref="B27:B36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P1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72" customWidth="1"/>
    <col min="2" max="2" width="3.8515625" style="72" customWidth="1"/>
    <col min="3" max="3" width="14.140625" style="72" customWidth="1"/>
    <col min="4" max="16" width="6.28125" style="72" customWidth="1"/>
    <col min="17" max="16384" width="9.140625" style="72" customWidth="1"/>
  </cols>
  <sheetData>
    <row r="1" spans="1:8" ht="18.75">
      <c r="A1" s="5" t="s">
        <v>41</v>
      </c>
      <c r="B1" s="2"/>
      <c r="C1" s="18"/>
      <c r="D1" s="2"/>
      <c r="E1" s="2"/>
      <c r="F1" s="2"/>
      <c r="G1" s="2"/>
      <c r="H1" s="2"/>
    </row>
    <row r="2" spans="1:8" ht="12.75">
      <c r="A2" s="8" t="s">
        <v>2</v>
      </c>
      <c r="B2" s="1"/>
      <c r="C2" s="25"/>
      <c r="D2" s="1"/>
      <c r="E2" s="1"/>
      <c r="F2" s="1"/>
      <c r="G2" s="1"/>
      <c r="H2" s="1"/>
    </row>
    <row r="3" ht="12.75">
      <c r="A3" s="7" t="s">
        <v>39</v>
      </c>
    </row>
    <row r="4" ht="9.75" customHeight="1" thickBot="1"/>
    <row r="5" spans="1:16" ht="13.5" thickBot="1">
      <c r="A5" s="6"/>
      <c r="B5" s="6"/>
      <c r="C5" s="20"/>
      <c r="D5" s="120">
        <v>2007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1:16" ht="48" thickBot="1">
      <c r="A6" s="6"/>
      <c r="B6" s="6"/>
      <c r="C6" s="20"/>
      <c r="D6" s="80" t="s">
        <v>20</v>
      </c>
      <c r="E6" s="82" t="s">
        <v>21</v>
      </c>
      <c r="F6" s="82" t="s">
        <v>22</v>
      </c>
      <c r="G6" s="82" t="s">
        <v>23</v>
      </c>
      <c r="H6" s="82" t="s">
        <v>24</v>
      </c>
      <c r="I6" s="82" t="s">
        <v>25</v>
      </c>
      <c r="J6" s="82" t="s">
        <v>26</v>
      </c>
      <c r="K6" s="82" t="s">
        <v>27</v>
      </c>
      <c r="L6" s="82" t="s">
        <v>28</v>
      </c>
      <c r="M6" s="82" t="s">
        <v>29</v>
      </c>
      <c r="N6" s="82" t="s">
        <v>30</v>
      </c>
      <c r="O6" s="81" t="s">
        <v>31</v>
      </c>
      <c r="P6" s="87" t="s">
        <v>32</v>
      </c>
    </row>
    <row r="7" spans="1:16" ht="30" customHeight="1" thickBot="1">
      <c r="A7" s="118" t="s">
        <v>33</v>
      </c>
      <c r="B7" s="145" t="s">
        <v>36</v>
      </c>
      <c r="C7" s="22" t="s">
        <v>17</v>
      </c>
      <c r="D7" s="95">
        <f>SUM(D8:D14)</f>
        <v>2752</v>
      </c>
      <c r="E7" s="96">
        <f aca="true" t="shared" si="0" ref="E7:O7">SUM(E8:E14)</f>
        <v>8557</v>
      </c>
      <c r="F7" s="96">
        <f t="shared" si="0"/>
        <v>4029</v>
      </c>
      <c r="G7" s="96">
        <f t="shared" si="0"/>
        <v>3737</v>
      </c>
      <c r="H7" s="96">
        <f t="shared" si="0"/>
        <v>2308</v>
      </c>
      <c r="I7" s="96">
        <f t="shared" si="0"/>
        <v>2512</v>
      </c>
      <c r="J7" s="96">
        <f t="shared" si="0"/>
        <v>2613</v>
      </c>
      <c r="K7" s="96">
        <f t="shared" si="0"/>
        <v>2178</v>
      </c>
      <c r="L7" s="96">
        <f t="shared" si="0"/>
        <v>2230</v>
      </c>
      <c r="M7" s="96">
        <f t="shared" si="0"/>
        <v>2237</v>
      </c>
      <c r="N7" s="96">
        <f t="shared" si="0"/>
        <v>2306</v>
      </c>
      <c r="O7" s="97">
        <f t="shared" si="0"/>
        <v>2314</v>
      </c>
      <c r="P7" s="93">
        <f>SUM(D7:O7)</f>
        <v>37773</v>
      </c>
    </row>
    <row r="8" spans="1:16" ht="52.5" customHeight="1">
      <c r="A8" s="119"/>
      <c r="B8" s="146"/>
      <c r="C8" s="19" t="s">
        <v>13</v>
      </c>
      <c r="D8" s="70">
        <f>17+28</f>
        <v>45</v>
      </c>
      <c r="E8" s="58">
        <f>13+88+2+2</f>
        <v>105</v>
      </c>
      <c r="F8" s="58">
        <f>25+123</f>
        <v>148</v>
      </c>
      <c r="G8" s="58">
        <f>24+95+1+0</f>
        <v>120</v>
      </c>
      <c r="H8" s="58">
        <f>33+114</f>
        <v>147</v>
      </c>
      <c r="I8" s="58">
        <f>41+110</f>
        <v>151</v>
      </c>
      <c r="J8" s="58">
        <f>25+120+4</f>
        <v>149</v>
      </c>
      <c r="K8" s="58">
        <f>29+137+2</f>
        <v>168</v>
      </c>
      <c r="L8" s="58">
        <f>22+1+119+2+1+0</f>
        <v>145</v>
      </c>
      <c r="M8" s="58">
        <f>30+3+126+1</f>
        <v>160</v>
      </c>
      <c r="N8" s="58">
        <f>19+152+2</f>
        <v>173</v>
      </c>
      <c r="O8" s="59">
        <f>20+130+1</f>
        <v>151</v>
      </c>
      <c r="P8" s="38">
        <f aca="true" t="shared" si="1" ref="P8:P14">SUM(D8:O8)</f>
        <v>1662</v>
      </c>
    </row>
    <row r="9" spans="1:16" ht="40.5" customHeight="1">
      <c r="A9" s="119"/>
      <c r="B9" s="146"/>
      <c r="C9" s="68" t="s">
        <v>43</v>
      </c>
      <c r="D9" s="53">
        <v>1</v>
      </c>
      <c r="E9" s="32">
        <v>0</v>
      </c>
      <c r="F9" s="32">
        <v>3</v>
      </c>
      <c r="G9" s="32">
        <v>1</v>
      </c>
      <c r="H9" s="32">
        <v>2</v>
      </c>
      <c r="I9" s="32">
        <v>4</v>
      </c>
      <c r="J9" s="32">
        <v>0</v>
      </c>
      <c r="K9" s="32">
        <v>3</v>
      </c>
      <c r="L9" s="32">
        <v>4</v>
      </c>
      <c r="M9" s="32">
        <v>5</v>
      </c>
      <c r="N9" s="32">
        <v>3</v>
      </c>
      <c r="O9" s="33">
        <v>3</v>
      </c>
      <c r="P9" s="29">
        <f t="shared" si="1"/>
        <v>29</v>
      </c>
    </row>
    <row r="10" spans="1:16" ht="30" customHeight="1">
      <c r="A10" s="119"/>
      <c r="B10" s="146"/>
      <c r="C10" s="68" t="s">
        <v>42</v>
      </c>
      <c r="D10" s="53">
        <v>0</v>
      </c>
      <c r="E10" s="32">
        <v>2</v>
      </c>
      <c r="F10" s="32">
        <v>5</v>
      </c>
      <c r="G10" s="32">
        <v>2</v>
      </c>
      <c r="H10" s="32">
        <v>4</v>
      </c>
      <c r="I10" s="32">
        <v>4</v>
      </c>
      <c r="J10" s="32">
        <v>5</v>
      </c>
      <c r="K10" s="32">
        <v>1</v>
      </c>
      <c r="L10" s="32">
        <v>1</v>
      </c>
      <c r="M10" s="32">
        <v>1</v>
      </c>
      <c r="N10" s="32">
        <v>3</v>
      </c>
      <c r="O10" s="33">
        <v>2</v>
      </c>
      <c r="P10" s="29">
        <f t="shared" si="1"/>
        <v>30</v>
      </c>
    </row>
    <row r="11" spans="1:16" ht="30" customHeight="1">
      <c r="A11" s="119"/>
      <c r="B11" s="146"/>
      <c r="C11" s="68" t="s">
        <v>14</v>
      </c>
      <c r="D11" s="53">
        <f>0+1+2</f>
        <v>3</v>
      </c>
      <c r="E11" s="32">
        <f>0+5+5</f>
        <v>10</v>
      </c>
      <c r="F11" s="32">
        <f>1+0+2</f>
        <v>3</v>
      </c>
      <c r="G11" s="32">
        <f>2+2+1</f>
        <v>5</v>
      </c>
      <c r="H11" s="32">
        <v>4</v>
      </c>
      <c r="I11" s="32">
        <f>0+2+1</f>
        <v>3</v>
      </c>
      <c r="J11" s="32">
        <v>2</v>
      </c>
      <c r="K11" s="32">
        <v>4</v>
      </c>
      <c r="L11" s="32">
        <v>1</v>
      </c>
      <c r="M11" s="32">
        <v>4</v>
      </c>
      <c r="N11" s="32">
        <v>8</v>
      </c>
      <c r="O11" s="33">
        <v>1</v>
      </c>
      <c r="P11" s="29">
        <f t="shared" si="1"/>
        <v>48</v>
      </c>
    </row>
    <row r="12" spans="1:16" ht="30" customHeight="1">
      <c r="A12" s="119"/>
      <c r="B12" s="146"/>
      <c r="C12" s="68" t="s">
        <v>15</v>
      </c>
      <c r="D12" s="53">
        <v>3</v>
      </c>
      <c r="E12" s="32">
        <v>1</v>
      </c>
      <c r="F12" s="32">
        <v>5</v>
      </c>
      <c r="G12" s="32">
        <v>3</v>
      </c>
      <c r="H12" s="32">
        <v>8</v>
      </c>
      <c r="I12" s="32">
        <v>0</v>
      </c>
      <c r="J12" s="32">
        <v>3</v>
      </c>
      <c r="K12" s="32">
        <v>0</v>
      </c>
      <c r="L12" s="32">
        <v>3</v>
      </c>
      <c r="M12" s="32">
        <v>5</v>
      </c>
      <c r="N12" s="32">
        <v>0</v>
      </c>
      <c r="O12" s="33">
        <v>2</v>
      </c>
      <c r="P12" s="29">
        <f t="shared" si="1"/>
        <v>33</v>
      </c>
    </row>
    <row r="13" spans="1:16" ht="30" customHeight="1">
      <c r="A13" s="119"/>
      <c r="B13" s="146"/>
      <c r="C13" s="68" t="s">
        <v>16</v>
      </c>
      <c r="D13" s="53">
        <v>1719</v>
      </c>
      <c r="E13" s="32">
        <v>2738</v>
      </c>
      <c r="F13" s="32">
        <v>2328</v>
      </c>
      <c r="G13" s="32">
        <v>2067</v>
      </c>
      <c r="H13" s="32">
        <v>1448</v>
      </c>
      <c r="I13" s="32">
        <v>1597</v>
      </c>
      <c r="J13" s="32">
        <v>1617</v>
      </c>
      <c r="K13" s="32">
        <v>1296</v>
      </c>
      <c r="L13" s="32">
        <v>1323</v>
      </c>
      <c r="M13" s="32">
        <v>1297</v>
      </c>
      <c r="N13" s="32">
        <v>1307</v>
      </c>
      <c r="O13" s="33">
        <v>952</v>
      </c>
      <c r="P13" s="29">
        <f t="shared" si="1"/>
        <v>19689</v>
      </c>
    </row>
    <row r="14" spans="1:16" ht="33.75" customHeight="1" thickBot="1">
      <c r="A14" s="119"/>
      <c r="B14" s="147"/>
      <c r="C14" s="69" t="s">
        <v>10</v>
      </c>
      <c r="D14" s="71">
        <v>981</v>
      </c>
      <c r="E14" s="35">
        <v>5701</v>
      </c>
      <c r="F14" s="35">
        <v>1537</v>
      </c>
      <c r="G14" s="35">
        <v>1539</v>
      </c>
      <c r="H14" s="35">
        <v>695</v>
      </c>
      <c r="I14" s="35">
        <v>753</v>
      </c>
      <c r="J14" s="35">
        <v>837</v>
      </c>
      <c r="K14" s="35">
        <v>706</v>
      </c>
      <c r="L14" s="35">
        <v>753</v>
      </c>
      <c r="M14" s="35">
        <v>765</v>
      </c>
      <c r="N14" s="35">
        <v>812</v>
      </c>
      <c r="O14" s="36">
        <v>1203</v>
      </c>
      <c r="P14" s="37">
        <f t="shared" si="1"/>
        <v>16282</v>
      </c>
    </row>
    <row r="15" spans="1:16" ht="30" customHeight="1" thickBot="1">
      <c r="A15" s="119"/>
      <c r="B15" s="39"/>
      <c r="C15" s="22" t="s">
        <v>17</v>
      </c>
      <c r="D15" s="88">
        <f>SUM(D16:D19)</f>
        <v>1968</v>
      </c>
      <c r="E15" s="90">
        <f aca="true" t="shared" si="2" ref="E15:O15">SUM(E16:E19)</f>
        <v>2526</v>
      </c>
      <c r="F15" s="90">
        <f t="shared" si="2"/>
        <v>3227</v>
      </c>
      <c r="G15" s="90">
        <f t="shared" si="2"/>
        <v>2015</v>
      </c>
      <c r="H15" s="90">
        <f t="shared" si="2"/>
        <v>902</v>
      </c>
      <c r="I15" s="90">
        <f t="shared" si="2"/>
        <v>8640</v>
      </c>
      <c r="J15" s="90">
        <f t="shared" si="2"/>
        <v>1404</v>
      </c>
      <c r="K15" s="90">
        <f t="shared" si="2"/>
        <v>5245</v>
      </c>
      <c r="L15" s="90">
        <f t="shared" si="2"/>
        <v>4040</v>
      </c>
      <c r="M15" s="90">
        <f t="shared" si="2"/>
        <v>3508</v>
      </c>
      <c r="N15" s="90">
        <f t="shared" si="2"/>
        <v>5149</v>
      </c>
      <c r="O15" s="91">
        <f t="shared" si="2"/>
        <v>4168</v>
      </c>
      <c r="P15" s="93">
        <f>SUM(D15:O15)</f>
        <v>42792</v>
      </c>
    </row>
    <row r="16" spans="1:16" ht="51.75" customHeight="1">
      <c r="A16" s="119"/>
      <c r="B16" s="123" t="s">
        <v>45</v>
      </c>
      <c r="C16" s="19" t="s">
        <v>13</v>
      </c>
      <c r="D16" s="70">
        <v>1736</v>
      </c>
      <c r="E16" s="58">
        <v>2324</v>
      </c>
      <c r="F16" s="58">
        <v>2973</v>
      </c>
      <c r="G16" s="58">
        <v>1688</v>
      </c>
      <c r="H16" s="58">
        <v>660</v>
      </c>
      <c r="I16" s="58">
        <v>6958</v>
      </c>
      <c r="J16" s="58">
        <v>1252</v>
      </c>
      <c r="K16" s="58">
        <v>2829</v>
      </c>
      <c r="L16" s="58">
        <v>3769</v>
      </c>
      <c r="M16" s="58">
        <v>2769</v>
      </c>
      <c r="N16" s="58">
        <v>4793</v>
      </c>
      <c r="O16" s="59">
        <v>3730</v>
      </c>
      <c r="P16" s="38">
        <f>SUM(D16:O16)</f>
        <v>35481</v>
      </c>
    </row>
    <row r="17" spans="1:16" ht="42.75" customHeight="1">
      <c r="A17" s="119"/>
      <c r="B17" s="124"/>
      <c r="C17" s="68" t="s">
        <v>44</v>
      </c>
      <c r="D17" s="53">
        <v>0</v>
      </c>
      <c r="E17" s="32">
        <v>0</v>
      </c>
      <c r="F17" s="32">
        <v>0</v>
      </c>
      <c r="G17" s="32">
        <v>153</v>
      </c>
      <c r="H17" s="32">
        <v>38</v>
      </c>
      <c r="I17" s="32">
        <v>90</v>
      </c>
      <c r="J17" s="32">
        <v>0</v>
      </c>
      <c r="K17" s="32">
        <v>1869</v>
      </c>
      <c r="L17" s="32">
        <v>0</v>
      </c>
      <c r="M17" s="32">
        <v>452</v>
      </c>
      <c r="N17" s="32">
        <v>33</v>
      </c>
      <c r="O17" s="33">
        <v>112</v>
      </c>
      <c r="P17" s="29">
        <f>SUM(D17:O17)</f>
        <v>2747</v>
      </c>
    </row>
    <row r="18" spans="1:16" ht="44.25" customHeight="1">
      <c r="A18" s="119"/>
      <c r="B18" s="124"/>
      <c r="C18" s="68" t="s">
        <v>42</v>
      </c>
      <c r="D18" s="53">
        <v>123</v>
      </c>
      <c r="E18" s="32">
        <v>45</v>
      </c>
      <c r="F18" s="32">
        <v>4</v>
      </c>
      <c r="G18" s="32">
        <v>23</v>
      </c>
      <c r="H18" s="32">
        <v>93</v>
      </c>
      <c r="I18" s="32">
        <v>1131</v>
      </c>
      <c r="J18" s="32">
        <v>21</v>
      </c>
      <c r="K18" s="32">
        <v>332</v>
      </c>
      <c r="L18" s="32">
        <v>0</v>
      </c>
      <c r="M18" s="32">
        <v>68</v>
      </c>
      <c r="N18" s="32">
        <v>0</v>
      </c>
      <c r="O18" s="33">
        <v>18</v>
      </c>
      <c r="P18" s="29">
        <f>SUM(D18:O18)</f>
        <v>1858</v>
      </c>
    </row>
    <row r="19" spans="1:16" ht="30" customHeight="1" thickBot="1">
      <c r="A19" s="126"/>
      <c r="B19" s="125"/>
      <c r="C19" s="69" t="s">
        <v>11</v>
      </c>
      <c r="D19" s="54">
        <v>109</v>
      </c>
      <c r="E19" s="55">
        <v>157</v>
      </c>
      <c r="F19" s="55">
        <v>250</v>
      </c>
      <c r="G19" s="55">
        <v>151</v>
      </c>
      <c r="H19" s="55">
        <v>111</v>
      </c>
      <c r="I19" s="55">
        <v>461</v>
      </c>
      <c r="J19" s="55">
        <v>131</v>
      </c>
      <c r="K19" s="55">
        <v>215</v>
      </c>
      <c r="L19" s="55">
        <v>271</v>
      </c>
      <c r="M19" s="55">
        <v>219</v>
      </c>
      <c r="N19" s="55">
        <v>323</v>
      </c>
      <c r="O19" s="56">
        <v>308</v>
      </c>
      <c r="P19" s="30">
        <f>SUM(D19:O19)</f>
        <v>2706</v>
      </c>
    </row>
  </sheetData>
  <mergeCells count="4">
    <mergeCell ref="D5:P5"/>
    <mergeCell ref="A7:A19"/>
    <mergeCell ref="B16:B19"/>
    <mergeCell ref="B7:B1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2008-11-11T08:09:24Z</cp:lastPrinted>
  <dcterms:created xsi:type="dcterms:W3CDTF">2006-02-24T09:38:25Z</dcterms:created>
  <dcterms:modified xsi:type="dcterms:W3CDTF">2010-04-12T10:29:46Z</dcterms:modified>
  <cp:category/>
  <cp:version/>
  <cp:contentType/>
  <cp:contentStatus/>
</cp:coreProperties>
</file>