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15" windowHeight="4260" tabRatio="944" activeTab="1"/>
  </bookViews>
  <sheets>
    <sheet name="الشؤون العقارية " sheetId="1" r:id="rId1"/>
    <sheet name="1-4" sheetId="2" r:id="rId2"/>
    <sheet name="5-8" sheetId="3" r:id="rId3"/>
    <sheet name="9-11" sheetId="4" r:id="rId4"/>
    <sheet name="12-15" sheetId="5" r:id="rId5"/>
    <sheet name="16-17" sheetId="6" r:id="rId6"/>
  </sheets>
  <definedNames/>
  <calcPr fullCalcOnLoad="1"/>
</workbook>
</file>

<file path=xl/sharedStrings.xml><?xml version="1.0" encoding="utf-8"?>
<sst xmlns="http://schemas.openxmlformats.org/spreadsheetml/2006/main" count="527" uniqueCount="92">
  <si>
    <t xml:space="preserve">الشؤون العقارية
 REAL ESTATE
 </t>
  </si>
  <si>
    <t xml:space="preserve">  بيروت
Beirut</t>
  </si>
  <si>
    <t xml:space="preserve"> بعبدا عاليه الشوف
Baabda Aaley Chouf </t>
  </si>
  <si>
    <t xml:space="preserve"> كسروان جبيل
Kesrouan Jbayl </t>
  </si>
  <si>
    <t xml:space="preserve"> المتن
Matn </t>
  </si>
  <si>
    <t xml:space="preserve">  لبنان الشمالي1 
 North Lebanon 1</t>
  </si>
  <si>
    <t xml:space="preserve">  لبنان الشمالي2 
 North Lebanon 2</t>
  </si>
  <si>
    <t xml:space="preserve">   البقاع
Bekaa</t>
  </si>
  <si>
    <t xml:space="preserve"> الجنوب
South Lebanon</t>
  </si>
  <si>
    <t xml:space="preserve">  النبطية
Nabatieh</t>
  </si>
  <si>
    <t xml:space="preserve"> بعبدا عاليه الشوف
Baabda Aaley Chouf</t>
  </si>
  <si>
    <t xml:space="preserve"> كسروان جبيل
Kesrouan Jbayl</t>
  </si>
  <si>
    <t xml:space="preserve">  المتن
Matn</t>
  </si>
  <si>
    <t xml:space="preserve">  البقاع
 Bekaa</t>
  </si>
  <si>
    <t xml:space="preserve">   النبطية
Nabatieh</t>
  </si>
  <si>
    <t xml:space="preserve">  الجنوب
 South Lebanon</t>
  </si>
  <si>
    <t xml:space="preserve">  كانون ثاني
January </t>
  </si>
  <si>
    <t xml:space="preserve">شباط
February </t>
  </si>
  <si>
    <t xml:space="preserve">  آذار
 March </t>
  </si>
  <si>
    <t>صفحة : 2</t>
  </si>
  <si>
    <t>صفحة : 6</t>
  </si>
  <si>
    <t>نيسان
April</t>
  </si>
  <si>
    <t>المجموع
Total</t>
  </si>
  <si>
    <t>الوحدة : ملايين الليرات</t>
  </si>
  <si>
    <t>Unit: millions of LBP</t>
  </si>
  <si>
    <t xml:space="preserve"> أيار
May</t>
  </si>
  <si>
    <t xml:space="preserve"> حزيران
 June</t>
  </si>
  <si>
    <t xml:space="preserve">  تموز
July</t>
  </si>
  <si>
    <t xml:space="preserve">  آب
August</t>
  </si>
  <si>
    <t xml:space="preserve">  أيلول
September</t>
  </si>
  <si>
    <t xml:space="preserve"> تشرين أول
 October </t>
  </si>
  <si>
    <t xml:space="preserve"> تشرين ثاني
 November </t>
  </si>
  <si>
    <t xml:space="preserve"> كانون أول
 December </t>
  </si>
  <si>
    <t>الشهر                                 
                  العدد</t>
  </si>
  <si>
    <t xml:space="preserve"> الرهونات العقارية
Real-estate mortagages</t>
  </si>
  <si>
    <t xml:space="preserve">  الرهونات المرفوعة
 Levied mortagages</t>
  </si>
  <si>
    <t xml:space="preserve">الحجز
 Seizes  </t>
  </si>
  <si>
    <t xml:space="preserve">  فك حجز
Levied seizes</t>
  </si>
  <si>
    <t xml:space="preserve">  العقارات
 Real-estate</t>
  </si>
  <si>
    <t xml:space="preserve"> المعاملات والعقود
 Transactions &amp; contracts</t>
  </si>
  <si>
    <t>صفحة : 3</t>
  </si>
  <si>
    <t>صفحة : 4</t>
  </si>
  <si>
    <t>صفحة : 5</t>
  </si>
  <si>
    <t>جدول 1: عدد العمليات المسجلة   ( بيوعات وهبات وانتقال  ) شهرياّ بموجب المناطق العقارية  خلال العام 2016</t>
  </si>
  <si>
    <t>جدول 2: قيمة العمليات المسجلة   ( بيوعات وهبات وانتقال ) شهرياّ بموجب المناطق العقارية  خلال العام 2016</t>
  </si>
  <si>
    <t>جدول 3: عدد العمليات المسجلة   ( الرهونات العقارية  ) شهرياّ بموجب المناطق العقارية  خلال العام 2016</t>
  </si>
  <si>
    <t>جدول 4: قيمة العمليات المسجلة   (الرهونات العقارية) شهرياّ بموجب المناطق العقارية  خلال العام 2016</t>
  </si>
  <si>
    <t>جدول 5: عدد العمليات المسجلة   ( رهونات مرفوعة ) شهرياّ بموجب المناطق العقارية  خلال العام 2016</t>
  </si>
  <si>
    <t>جدول 6: قيمة العمليات المسجلة   ( رهونات مرفوعة ) شهرياّ بموجب المناطق العقارية  خلال العام 2016</t>
  </si>
  <si>
    <t>جدول7: عدد العمليات المسجلة   (حجز  ) شهرياّ بموجب المناطق العقارية  خلال العام 2016</t>
  </si>
  <si>
    <t>جدول 8: عدد العمليات المسجلة   (فك حجز) شهرياّ بموجب المناطق العقارية  خلال العام 2016</t>
  </si>
  <si>
    <t>جدول 9: عدد العقارات  شهرياّ بموجب المناطق العقارية  خلال العام 2016</t>
  </si>
  <si>
    <t>جدول 10:عدد معاملات وعقود شهرياّ بموجب المناطق العقارية  خلال العام 2016</t>
  </si>
  <si>
    <t>جدول11: عدد  عقارات ومعاملات ( بدل عن ضائع  ) شهرياّ بموجب المناطق العقارية  خلال العام 2016</t>
  </si>
  <si>
    <t>جدول 12: عدد ضرائب أساسية شهرياّ بموجب المناطق العقارية  خلال العام 2016</t>
  </si>
  <si>
    <t>جدول 13:عدد الرسوم عن الأجانب شهرياّ بموجب المناطق العقارية  خلال العام 2016</t>
  </si>
  <si>
    <t>جدول14: عدد الرسوم المستوفاة عن عقود البيع شهرياّ بموجب المناطق العقارية  خلال العام 2016</t>
  </si>
  <si>
    <t>جدول 15: عدد مجمل الرسم البلدي المستوفى شهرياّ بموجب المناطق العقارية  خلال العام 2016</t>
  </si>
  <si>
    <t>جدول 16: عدد المعاملات العقارية  بالمحكمة العقارية شهريا خلال العام 2016</t>
  </si>
  <si>
    <t>جدول 17: قيمة  المعاملات العقارية  بالمحكمة العقارية شهريا خلال العام 2016</t>
  </si>
  <si>
    <t xml:space="preserve"> </t>
  </si>
  <si>
    <t>table 16: number of real estate transactions in landed court monthly during year 2016</t>
  </si>
  <si>
    <t>table 17: value of  real estate transactions in landed court monthly during year 2016</t>
  </si>
  <si>
    <t>monthالشهر                                 
                        circumscript territories    المناطق  العقارية</t>
  </si>
  <si>
    <t>monthالشهر                                 
                        circumscript  territories    المناطق  العقارية</t>
  </si>
  <si>
    <t>table 13: number of monthly fees of foreigners  by circumscripted territories during year 2016</t>
  </si>
  <si>
    <t>table 14: number of monthly paided fees for selling contracts  by circumscripted territories during year 2016</t>
  </si>
  <si>
    <t>table 12: number of monthly basic taxes  by circumscripted territories during year 2016</t>
  </si>
  <si>
    <t>table 15: gross monthly paided municipale fees  by circumscripted territories during year 2016</t>
  </si>
  <si>
    <t>month الشهر                                 
                          circumscripted territories  المناطق العقارية</t>
  </si>
  <si>
    <t>table 11: monthly number of transactions and real estates by circumscripted territories during year 2016</t>
  </si>
  <si>
    <t>table 10: monthly number of transactions and contracts by circumscripted territories during year 2016</t>
  </si>
  <si>
    <t>table 9: monthly number of real estates by circumscripted territories during year 2016</t>
  </si>
  <si>
    <t>table 5: number of monthly registered transactions (mortgages removed) by circumscripted territories during year 2016</t>
  </si>
  <si>
    <t>table 6: value of monthly registered transactions (mortgages removed) by circumscripted territories during year 2016</t>
  </si>
  <si>
    <t>table 7: number of monthly registered transactions (withhold) by circumscripted territories during year 2016</t>
  </si>
  <si>
    <t>table 8: number of monthly registered transactions (withhold raising) by circumscripted territories during year 2016</t>
  </si>
  <si>
    <t>monthالشهر                                 
                        circumscripted territories    المناطق  العقارية</t>
  </si>
  <si>
    <t>table 1: number of monthly registered transactions (sales and grants and transmit) by circumscripted territories during year 2016</t>
  </si>
  <si>
    <t>table 2: value of monthly registered transactions (sales and grants and transmit) by circumscripted territories during year 2016</t>
  </si>
  <si>
    <t>table 3: number of monthly registered transactions (real estate mortgages) by circumscripted territories during year 2016</t>
  </si>
  <si>
    <t>table 4: value of monthly registered transactions (real estate mortgages) by circumscripted territories during year 2016</t>
  </si>
  <si>
    <t xml:space="preserve">المصدر :المديرية العامة للشؤون العقارية 
source: general directorate for real estate affairs
</t>
  </si>
  <si>
    <t xml:space="preserve">المصدر :المديرية العامة للشؤون العقارية </t>
  </si>
  <si>
    <t>source: general directorate for real estate affairs</t>
  </si>
  <si>
    <t xml:space="preserve"> مجموع 
Total  </t>
  </si>
  <si>
    <t>sheet :2</t>
  </si>
  <si>
    <t>sheet :3</t>
  </si>
  <si>
    <t>sheet :4</t>
  </si>
  <si>
    <t>sheet :5</t>
  </si>
  <si>
    <t>sheet :6</t>
  </si>
  <si>
    <t>Sales, donations &amp; successions  البيوعات والهبات والانتقال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</si>
</sst>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ل.ل.&quot;\ #,##0_-;&quot;ل.ل.&quot;\ #,##0\-"/>
    <numFmt numFmtId="173" formatCode="&quot;ل.ل.&quot;\ #,##0_-;[Red]&quot;ل.ل.&quot;\ #,##0\-"/>
    <numFmt numFmtId="174" formatCode="&quot;ل.ل.&quot;\ #,##0.00_-;&quot;ل.ل.&quot;\ #,##0.00\-"/>
    <numFmt numFmtId="175" formatCode="&quot;ل.ل.&quot;\ #,##0.00_-;[Red]&quot;ل.ل.&quot;\ #,##0.00\-"/>
    <numFmt numFmtId="176" formatCode="_-&quot;ل.ل.&quot;\ * #,##0_-;_-&quot;ل.ل.&quot;\ * #,##0\-;_-&quot;ل.ل.&quot;\ * &quot;-&quot;_-;_-@_-"/>
    <numFmt numFmtId="177" formatCode="_-* #,##0_-;_-* #,##0\-;_-* &quot;-&quot;_-;_-@_-"/>
    <numFmt numFmtId="178" formatCode="_-&quot;ل.ل.&quot;\ * #,##0.00_-;_-&quot;ل.ل.&quot;\ * #,##0.00\-;_-&quot;ل.ل.&quot;\ * &quot;-&quot;??_-;_-@_-"/>
    <numFmt numFmtId="179" formatCode="_-* #,##0.00_-;_-* #,##0.00\-;_-* &quot;-&quot;??_-;_-@_-"/>
    <numFmt numFmtId="180" formatCode="0.0"/>
    <numFmt numFmtId="181" formatCode="###\ ###\ ###"/>
    <numFmt numFmtId="182" formatCode="_-&quot;ر.س.&quot;\ * #,##0.00_-;_-&quot;ر.س.&quot;\ * #,##0.00\-;_-&quot;ر.س.&quot;\ * &quot;-&quot;??_-;_-@_-"/>
    <numFmt numFmtId="183" formatCode="_-&quot;ر.س.&quot;\ * #,##0_-;_-&quot;ر.س.&quot;\ * #,##0\-;_-&quot;ر.س.&quot;\ * &quot;-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"/>
    <numFmt numFmtId="189" formatCode="0.000"/>
    <numFmt numFmtId="190" formatCode="0.0000000"/>
    <numFmt numFmtId="191" formatCode="0.000000"/>
    <numFmt numFmtId="192" formatCode="0.00000"/>
    <numFmt numFmtId="193" formatCode="0.0%"/>
    <numFmt numFmtId="194" formatCode="0.000%"/>
    <numFmt numFmtId="195" formatCode="0.0;[Red]0.0"/>
    <numFmt numFmtId="196" formatCode="###\ ###\ ###.#"/>
    <numFmt numFmtId="197" formatCode="###\ ###\ ##0.0"/>
    <numFmt numFmtId="198" formatCode="_(* #,##0.0_);_(* \(#,##0.0\);_(* &quot;-&quot;??_);_(@_)"/>
    <numFmt numFmtId="199" formatCode="_(* #,##0_);_(* \(#,##0\);_(* &quot;-&quot;??_);_(@_)"/>
    <numFmt numFmtId="200" formatCode="_-* #,##0_-;_-* #,##0\-;_-* &quot;-&quot;??_-;_-@_-"/>
    <numFmt numFmtId="201" formatCode="_(* #,##0.000_);_(* \(#,##0.000\);_(* &quot;-&quot;??_);_(@_)"/>
    <numFmt numFmtId="202" formatCode="_(* #,##0.0000_);_(* \(#,##0.0000\);_(* &quot;-&quot;??_);_(@_)"/>
    <numFmt numFmtId="203" formatCode="_-* #,##0.0_-;_-* #,##0.0\-;_-* &quot;-&quot;?_-;_-@_-"/>
    <numFmt numFmtId="204" formatCode="0.00000000"/>
    <numFmt numFmtId="205" formatCode="#,##0.0"/>
    <numFmt numFmtId="206" formatCode="_-* #,##0.0_-;_-* #,##0.0\-;_-* &quot;-&quot;??_-;_-@_-"/>
    <numFmt numFmtId="207" formatCode="_-* #,##0.000_-;_-* #,##0.000\-;_-* &quot;-&quot;??_-;_-@_-"/>
    <numFmt numFmtId="208" formatCode="_-* #,##0.0000_-;_-* #,##0.0000\-;_-* &quot;-&quot;??_-;_-@_-"/>
    <numFmt numFmtId="209" formatCode="_-* #,##0.00000_-;_-* #,##0.00000\-;_-* &quot;-&quot;??_-;_-@_-"/>
    <numFmt numFmtId="210" formatCode="#,##0.000"/>
    <numFmt numFmtId="211" formatCode="#,##0.0000"/>
    <numFmt numFmtId="212" formatCode="0.00_ ;\-0.00\ "/>
    <numFmt numFmtId="213" formatCode="B1mmm\-yy"/>
    <numFmt numFmtId="214" formatCode="_(* #,##0.00000_);_(* \(#,##0.00000\);_(* &quot;-&quot;??_);_(@_)"/>
    <numFmt numFmtId="215" formatCode="_(* #,##0.000000_);_(* \(#,##0.000000\);_(* &quot;-&quot;??_);_(@_)"/>
    <numFmt numFmtId="216" formatCode="_(* #,##0.0000000_);_(* \(#,##0.0000000\);_(* &quot;-&quot;??_);_(@_)"/>
    <numFmt numFmtId="217" formatCode="_(* #,##0.00000000_);_(* \(#,##0.00000000\);_(* &quot;-&quot;??_);_(@_)"/>
    <numFmt numFmtId="218" formatCode="_(* #,##0.000000000_);_(* \(#,##0.000000000\);_(* &quot;-&quot;??_);_(@_)"/>
    <numFmt numFmtId="219" formatCode="#,##0_ ;\-#,##0\ "/>
    <numFmt numFmtId="220" formatCode="_-* #,##0\ _€_-;\-* #,##0\ _€_-;_-* &quot;-&quot;??\ _€_-;_-@_-"/>
    <numFmt numFmtId="221" formatCode="0.000000000"/>
    <numFmt numFmtId="222" formatCode="0.0000000000"/>
  </numFmts>
  <fonts count="50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 diagonalUp="1">
      <left style="thin"/>
      <right style="thin"/>
      <top style="thin"/>
      <bottom style="thin"/>
      <diagonal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vertical="center" readingOrder="1"/>
    </xf>
    <xf numFmtId="0" fontId="5" fillId="0" borderId="0" xfId="0" applyFont="1" applyFill="1" applyAlignment="1">
      <alignment horizontal="right" vertical="center" readingOrder="1"/>
    </xf>
    <xf numFmtId="0" fontId="11" fillId="0" borderId="0" xfId="0" applyFont="1" applyFill="1" applyBorder="1" applyAlignment="1">
      <alignment horizontal="center" vertical="center" readingOrder="1"/>
    </xf>
    <xf numFmtId="0" fontId="8" fillId="0" borderId="0" xfId="0" applyFont="1" applyFill="1" applyAlignment="1">
      <alignment horizontal="right" vertical="center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0" fillId="0" borderId="0" xfId="0" applyFont="1" applyAlignment="1">
      <alignment horizontal="center" vertical="center" readingOrder="1"/>
    </xf>
    <xf numFmtId="0" fontId="6" fillId="0" borderId="10" xfId="62" applyFont="1" applyFill="1" applyBorder="1" applyAlignment="1">
      <alignment horizontal="center" vertical="center" wrapText="1" readingOrder="1"/>
      <protection/>
    </xf>
    <xf numFmtId="0" fontId="10" fillId="0" borderId="0" xfId="0" applyFont="1" applyFill="1" applyAlignment="1">
      <alignment horizontal="right" vertical="center" readingOrder="1"/>
    </xf>
    <xf numFmtId="0" fontId="5" fillId="0" borderId="11" xfId="0" applyFont="1" applyFill="1" applyBorder="1" applyAlignment="1">
      <alignment horizontal="center" vertical="center" wrapText="1" readingOrder="1"/>
    </xf>
    <xf numFmtId="0" fontId="6" fillId="0" borderId="0" xfId="62" applyFont="1" applyFill="1" applyBorder="1" applyAlignment="1">
      <alignment horizontal="left" vertical="center" wrapText="1" readingOrder="1"/>
      <protection/>
    </xf>
    <xf numFmtId="3" fontId="7" fillId="0" borderId="0" xfId="42" applyNumberFormat="1" applyFont="1" applyFill="1" applyBorder="1" applyAlignment="1">
      <alignment horizontal="right" vertical="center" readingOrder="1"/>
    </xf>
    <xf numFmtId="0" fontId="12" fillId="0" borderId="12" xfId="0" applyFont="1" applyFill="1" applyBorder="1" applyAlignment="1">
      <alignment horizontal="center" vertical="center" wrapText="1" readingOrder="1"/>
    </xf>
    <xf numFmtId="0" fontId="6" fillId="0" borderId="12" xfId="62" applyFont="1" applyFill="1" applyBorder="1" applyAlignment="1">
      <alignment horizontal="right" vertical="center" wrapText="1" readingOrder="1"/>
      <protection/>
    </xf>
    <xf numFmtId="3" fontId="7" fillId="33" borderId="12" xfId="42" applyNumberFormat="1" applyFont="1" applyFill="1" applyBorder="1" applyAlignment="1">
      <alignment horizontal="center" vertical="center" readingOrder="1"/>
    </xf>
    <xf numFmtId="3" fontId="7" fillId="0" borderId="12" xfId="42" applyNumberFormat="1" applyFont="1" applyFill="1" applyBorder="1" applyAlignment="1">
      <alignment horizontal="center" vertical="center" readingOrder="1"/>
    </xf>
    <xf numFmtId="3" fontId="13" fillId="0" borderId="12" xfId="0" applyNumberFormat="1" applyFont="1" applyFill="1" applyBorder="1" applyAlignment="1">
      <alignment horizontal="center" vertical="center" readingOrder="1"/>
    </xf>
    <xf numFmtId="3" fontId="13" fillId="33" borderId="12" xfId="0" applyNumberFormat="1" applyFont="1" applyFill="1" applyBorder="1" applyAlignment="1">
      <alignment horizontal="center" vertical="center" readingOrder="1"/>
    </xf>
    <xf numFmtId="0" fontId="12" fillId="0" borderId="13" xfId="0" applyFont="1" applyFill="1" applyBorder="1" applyAlignment="1">
      <alignment horizontal="center" vertical="center" wrapText="1" readingOrder="1"/>
    </xf>
    <xf numFmtId="3" fontId="7" fillId="33" borderId="14" xfId="42" applyNumberFormat="1" applyFont="1" applyFill="1" applyBorder="1" applyAlignment="1">
      <alignment horizontal="center" vertical="center" readingOrder="1"/>
    </xf>
    <xf numFmtId="3" fontId="7" fillId="33" borderId="12" xfId="42" applyNumberFormat="1" applyFont="1" applyFill="1" applyBorder="1" applyAlignment="1">
      <alignment horizontal="center" vertical="center"/>
    </xf>
    <xf numFmtId="3" fontId="7" fillId="0" borderId="12" xfId="42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12" xfId="42" applyNumberFormat="1" applyFont="1" applyFill="1" applyBorder="1" applyAlignment="1">
      <alignment horizontal="center" vertical="center"/>
    </xf>
    <xf numFmtId="3" fontId="13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 readingOrder="1"/>
    </xf>
    <xf numFmtId="0" fontId="6" fillId="0" borderId="16" xfId="62" applyFont="1" applyFill="1" applyBorder="1" applyAlignment="1">
      <alignment horizontal="center" vertical="center" wrapText="1" readingOrder="1"/>
      <protection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33" borderId="17" xfId="42" applyNumberFormat="1" applyFont="1" applyFill="1" applyBorder="1" applyAlignment="1">
      <alignment horizontal="center" vertical="center"/>
    </xf>
    <xf numFmtId="3" fontId="7" fillId="33" borderId="0" xfId="42" applyNumberFormat="1" applyFont="1" applyFill="1" applyBorder="1" applyAlignment="1">
      <alignment horizontal="center" vertical="center"/>
    </xf>
    <xf numFmtId="3" fontId="7" fillId="0" borderId="0" xfId="42" applyNumberFormat="1" applyFont="1" applyFill="1" applyBorder="1" applyAlignment="1">
      <alignment horizontal="center" vertical="center"/>
    </xf>
    <xf numFmtId="3" fontId="7" fillId="0" borderId="17" xfId="42" applyNumberFormat="1" applyFont="1" applyFill="1" applyBorder="1" applyAlignment="1">
      <alignment horizontal="center" vertical="center" readingOrder="1"/>
    </xf>
    <xf numFmtId="3" fontId="7" fillId="0" borderId="17" xfId="42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readingOrder="1"/>
    </xf>
    <xf numFmtId="0" fontId="14" fillId="0" borderId="0" xfId="0" applyFont="1" applyFill="1" applyAlignment="1">
      <alignment horizontal="center" vertical="center" readingOrder="1"/>
    </xf>
    <xf numFmtId="0" fontId="14" fillId="0" borderId="0" xfId="0" applyFont="1" applyFill="1" applyAlignment="1">
      <alignment vertical="center" readingOrder="1"/>
    </xf>
    <xf numFmtId="0" fontId="15" fillId="0" borderId="0" xfId="0" applyFont="1" applyFill="1" applyAlignment="1">
      <alignment horizontal="right" vertical="center" readingOrder="1"/>
    </xf>
    <xf numFmtId="0" fontId="15" fillId="0" borderId="0" xfId="0" applyFont="1" applyFill="1" applyAlignment="1">
      <alignment vertical="center" readingOrder="1"/>
    </xf>
    <xf numFmtId="0" fontId="0" fillId="0" borderId="0" xfId="0" applyFont="1" applyAlignment="1">
      <alignment/>
    </xf>
    <xf numFmtId="0" fontId="10" fillId="0" borderId="0" xfId="0" applyFont="1" applyFill="1" applyAlignment="1">
      <alignment vertical="center" readingOrder="1"/>
    </xf>
    <xf numFmtId="0" fontId="0" fillId="0" borderId="0" xfId="0" applyFont="1" applyAlignment="1">
      <alignment horizontal="right"/>
    </xf>
    <xf numFmtId="0" fontId="15" fillId="0" borderId="0" xfId="0" applyFont="1" applyFill="1" applyAlignment="1">
      <alignment horizontal="right" vertical="center" readingOrder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10" fillId="0" borderId="0" xfId="0" applyFont="1" applyFill="1" applyAlignment="1">
      <alignment horizontal="right" vertical="center" readingOrder="1"/>
    </xf>
    <xf numFmtId="0" fontId="10" fillId="0" borderId="0" xfId="0" applyFont="1" applyFill="1" applyAlignment="1">
      <alignment horizontal="left" vertical="center" readingOrder="1"/>
    </xf>
    <xf numFmtId="0" fontId="5" fillId="0" borderId="0" xfId="0" applyFont="1" applyFill="1" applyBorder="1" applyAlignment="1">
      <alignment horizontal="right" vertical="top" wrapText="1" readingOrder="1"/>
    </xf>
    <xf numFmtId="0" fontId="5" fillId="0" borderId="0" xfId="0" applyFont="1" applyFill="1" applyBorder="1" applyAlignment="1">
      <alignment horizontal="right" vertical="top" readingOrder="1"/>
    </xf>
    <xf numFmtId="0" fontId="0" fillId="0" borderId="0" xfId="0" applyAlignment="1">
      <alignment horizontal="right"/>
    </xf>
    <xf numFmtId="0" fontId="10" fillId="0" borderId="0" xfId="0" applyFont="1" applyFill="1" applyAlignment="1">
      <alignment horizontal="center" vertical="center" readingOrder="1"/>
    </xf>
    <xf numFmtId="0" fontId="6" fillId="0" borderId="21" xfId="0" applyFont="1" applyFill="1" applyBorder="1" applyAlignment="1">
      <alignment horizontal="center" vertical="center" wrapText="1" readingOrder="1"/>
    </xf>
    <xf numFmtId="0" fontId="6" fillId="0" borderId="22" xfId="62" applyFont="1" applyFill="1" applyBorder="1" applyAlignment="1">
      <alignment horizontal="center" vertical="center" wrapText="1" readingOrder="1"/>
      <protection/>
    </xf>
    <xf numFmtId="0" fontId="6" fillId="0" borderId="23" xfId="62" applyFont="1" applyFill="1" applyBorder="1" applyAlignment="1">
      <alignment horizontal="center" vertical="center" wrapText="1" readingOrder="1"/>
      <protection/>
    </xf>
    <xf numFmtId="0" fontId="6" fillId="0" borderId="17" xfId="62" applyFont="1" applyFill="1" applyBorder="1" applyAlignment="1">
      <alignment horizontal="center" vertical="center" wrapText="1" readingOrder="1"/>
      <protection/>
    </xf>
    <xf numFmtId="0" fontId="0" fillId="0" borderId="24" xfId="0" applyBorder="1" applyAlignment="1">
      <alignment/>
    </xf>
    <xf numFmtId="0" fontId="6" fillId="0" borderId="25" xfId="62" applyFont="1" applyFill="1" applyBorder="1" applyAlignment="1">
      <alignment horizontal="center" vertical="center" wrapText="1" readingOrder="1"/>
      <protection/>
    </xf>
    <xf numFmtId="0" fontId="6" fillId="0" borderId="26" xfId="62" applyFont="1" applyFill="1" applyBorder="1" applyAlignment="1">
      <alignment horizontal="center" vertical="center" wrapText="1" readingOrder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48_4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O55"/>
  <sheetViews>
    <sheetView rightToLeft="1" zoomScalePageLayoutView="0" workbookViewId="0" topLeftCell="B1">
      <selection activeCell="J60" sqref="J60"/>
    </sheetView>
  </sheetViews>
  <sheetFormatPr defaultColWidth="9.140625" defaultRowHeight="12.75"/>
  <cols>
    <col min="1" max="9" width="9.140625" style="11" customWidth="1"/>
    <col min="10" max="10" width="45.421875" style="11" customWidth="1"/>
    <col min="11" max="11" width="9.140625" style="11" customWidth="1"/>
    <col min="12" max="15" width="9.140625" style="10" customWidth="1"/>
    <col min="16" max="16384" width="9.140625" style="11" customWidth="1"/>
  </cols>
  <sheetData>
    <row r="1" spans="2:12" ht="67.5" customHeight="1" thickBot="1">
      <c r="B1" s="50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2"/>
    </row>
    <row r="6" spans="2:12" ht="12.75">
      <c r="B6" s="11" t="s">
        <v>43</v>
      </c>
      <c r="L6" s="10" t="s">
        <v>19</v>
      </c>
    </row>
    <row r="7" spans="1:15" s="43" customFormat="1" ht="15" customHeight="1">
      <c r="A7" s="42"/>
      <c r="B7" s="49" t="s">
        <v>78</v>
      </c>
      <c r="C7" s="49"/>
      <c r="D7" s="49"/>
      <c r="E7" s="49"/>
      <c r="F7" s="49"/>
      <c r="G7" s="49"/>
      <c r="H7" s="49"/>
      <c r="I7" s="49"/>
      <c r="J7" s="49"/>
      <c r="K7" s="45"/>
      <c r="L7" s="45" t="s">
        <v>86</v>
      </c>
      <c r="M7" s="45"/>
      <c r="N7" s="14"/>
      <c r="O7" s="14"/>
    </row>
    <row r="9" spans="2:12" ht="12.75">
      <c r="B9" s="11" t="s">
        <v>44</v>
      </c>
      <c r="L9" s="10" t="s">
        <v>19</v>
      </c>
    </row>
    <row r="10" spans="1:15" s="2" customFormat="1" ht="15">
      <c r="A10" s="46"/>
      <c r="B10" s="49" t="s">
        <v>79</v>
      </c>
      <c r="C10" s="49"/>
      <c r="D10" s="49"/>
      <c r="E10" s="49"/>
      <c r="F10" s="49"/>
      <c r="G10" s="49"/>
      <c r="H10" s="49"/>
      <c r="I10" s="49"/>
      <c r="J10" s="49"/>
      <c r="K10" s="45"/>
      <c r="L10" s="45" t="s">
        <v>86</v>
      </c>
      <c r="M10" s="45"/>
      <c r="N10" s="44"/>
      <c r="O10" s="44"/>
    </row>
    <row r="12" spans="2:12" ht="12.75">
      <c r="B12" s="11" t="s">
        <v>45</v>
      </c>
      <c r="L12" s="10" t="s">
        <v>19</v>
      </c>
    </row>
    <row r="13" spans="2:15" ht="15">
      <c r="B13" s="49" t="s">
        <v>80</v>
      </c>
      <c r="C13" s="49"/>
      <c r="D13" s="49"/>
      <c r="E13" s="49"/>
      <c r="F13" s="49"/>
      <c r="G13" s="49"/>
      <c r="H13" s="49"/>
      <c r="I13" s="49"/>
      <c r="J13" s="49"/>
      <c r="K13" s="45"/>
      <c r="L13" s="45" t="s">
        <v>86</v>
      </c>
      <c r="M13" s="45"/>
      <c r="N13" s="14"/>
      <c r="O13" s="14"/>
    </row>
    <row r="15" spans="2:12" ht="12.75">
      <c r="B15" s="11" t="s">
        <v>46</v>
      </c>
      <c r="L15" s="10" t="s">
        <v>19</v>
      </c>
    </row>
    <row r="16" spans="2:15" s="46" customFormat="1" ht="15">
      <c r="B16" s="49" t="s">
        <v>81</v>
      </c>
      <c r="C16" s="49"/>
      <c r="D16" s="49"/>
      <c r="E16" s="49"/>
      <c r="F16" s="49"/>
      <c r="G16" s="49"/>
      <c r="H16" s="49"/>
      <c r="I16" s="49"/>
      <c r="J16" s="49"/>
      <c r="K16" s="45"/>
      <c r="L16" s="45" t="s">
        <v>86</v>
      </c>
      <c r="M16" s="44"/>
      <c r="N16" s="44"/>
      <c r="O16" s="44"/>
    </row>
    <row r="17" ht="12.75">
      <c r="K17" s="12"/>
    </row>
    <row r="18" spans="2:12" ht="12.75">
      <c r="B18" s="11" t="s">
        <v>47</v>
      </c>
      <c r="L18" s="10" t="s">
        <v>40</v>
      </c>
    </row>
    <row r="19" spans="1:15" s="1" customFormat="1" ht="15" customHeight="1">
      <c r="A19" s="3"/>
      <c r="B19" s="49" t="s">
        <v>73</v>
      </c>
      <c r="C19" s="49"/>
      <c r="D19" s="49"/>
      <c r="E19" s="49"/>
      <c r="F19" s="49"/>
      <c r="G19" s="49"/>
      <c r="H19" s="49"/>
      <c r="I19" s="49"/>
      <c r="J19" s="49"/>
      <c r="K19" s="45"/>
      <c r="L19" s="45" t="s">
        <v>87</v>
      </c>
      <c r="M19" s="45"/>
      <c r="N19" s="44"/>
      <c r="O19" s="44"/>
    </row>
    <row r="21" spans="2:12" ht="12.75">
      <c r="B21" s="11" t="s">
        <v>48</v>
      </c>
      <c r="L21" s="10" t="s">
        <v>40</v>
      </c>
    </row>
    <row r="22" spans="1:15" s="2" customFormat="1" ht="15">
      <c r="A22"/>
      <c r="B22" s="49" t="s">
        <v>74</v>
      </c>
      <c r="C22" s="49"/>
      <c r="D22" s="49"/>
      <c r="E22" s="49"/>
      <c r="F22" s="49"/>
      <c r="G22" s="49"/>
      <c r="H22" s="49"/>
      <c r="I22" s="49"/>
      <c r="J22" s="49"/>
      <c r="K22" s="47"/>
      <c r="L22" s="45" t="s">
        <v>87</v>
      </c>
      <c r="M22" s="47"/>
      <c r="N22" s="14"/>
      <c r="O22" s="14"/>
    </row>
    <row r="24" spans="2:12" ht="12.75">
      <c r="B24" s="11" t="s">
        <v>49</v>
      </c>
      <c r="L24" s="10" t="s">
        <v>40</v>
      </c>
    </row>
    <row r="25" spans="2:15" s="46" customFormat="1" ht="15">
      <c r="B25" s="49" t="s">
        <v>75</v>
      </c>
      <c r="C25" s="49"/>
      <c r="D25" s="49"/>
      <c r="E25" s="49"/>
      <c r="F25" s="49"/>
      <c r="G25" s="49"/>
      <c r="H25" s="49"/>
      <c r="I25" s="49"/>
      <c r="J25" s="49"/>
      <c r="K25" s="45"/>
      <c r="L25" s="45" t="s">
        <v>87</v>
      </c>
      <c r="M25" s="44"/>
      <c r="N25" s="44"/>
      <c r="O25" s="44"/>
    </row>
    <row r="27" spans="2:12" ht="12.75">
      <c r="B27" s="11" t="s">
        <v>50</v>
      </c>
      <c r="L27" s="10" t="s">
        <v>40</v>
      </c>
    </row>
    <row r="28" spans="2:15" ht="15">
      <c r="B28" s="49" t="s">
        <v>76</v>
      </c>
      <c r="C28" s="49"/>
      <c r="D28" s="49"/>
      <c r="E28" s="49"/>
      <c r="F28" s="49"/>
      <c r="G28" s="49"/>
      <c r="H28" s="49"/>
      <c r="I28" s="49"/>
      <c r="J28" s="49"/>
      <c r="K28" s="47"/>
      <c r="L28" s="45" t="s">
        <v>87</v>
      </c>
      <c r="M28" s="47"/>
      <c r="N28" s="14"/>
      <c r="O28" s="14"/>
    </row>
    <row r="30" spans="2:12" ht="12.75">
      <c r="B30" s="11" t="s">
        <v>51</v>
      </c>
      <c r="L30" s="10" t="s">
        <v>41</v>
      </c>
    </row>
    <row r="31" spans="1:15" s="1" customFormat="1" ht="15" customHeight="1">
      <c r="A31" s="3"/>
      <c r="B31" s="49" t="s">
        <v>72</v>
      </c>
      <c r="C31" s="49"/>
      <c r="D31" s="49"/>
      <c r="E31" s="49"/>
      <c r="F31" s="49"/>
      <c r="G31" s="49"/>
      <c r="H31" s="49"/>
      <c r="I31" s="49"/>
      <c r="J31" s="49"/>
      <c r="K31" s="44"/>
      <c r="L31" s="45" t="s">
        <v>88</v>
      </c>
      <c r="M31" s="44"/>
      <c r="N31" s="44"/>
      <c r="O31" s="44"/>
    </row>
    <row r="33" spans="2:12" ht="12.75">
      <c r="B33" s="11" t="s">
        <v>52</v>
      </c>
      <c r="L33" s="10" t="s">
        <v>41</v>
      </c>
    </row>
    <row r="34" spans="1:15" s="2" customFormat="1" ht="15">
      <c r="A34" s="48"/>
      <c r="B34" s="49" t="s">
        <v>71</v>
      </c>
      <c r="C34" s="49"/>
      <c r="D34" s="49"/>
      <c r="E34" s="49"/>
      <c r="F34" s="49"/>
      <c r="G34" s="49"/>
      <c r="H34" s="49"/>
      <c r="I34" s="49"/>
      <c r="J34" s="49"/>
      <c r="K34" s="44"/>
      <c r="L34" s="45" t="s">
        <v>88</v>
      </c>
      <c r="M34" s="44"/>
      <c r="N34" s="44"/>
      <c r="O34" s="44"/>
    </row>
    <row r="36" spans="2:12" ht="12.75">
      <c r="B36" s="11" t="s">
        <v>53</v>
      </c>
      <c r="L36" s="10" t="s">
        <v>41</v>
      </c>
    </row>
    <row r="37" spans="2:15" s="48" customFormat="1" ht="15">
      <c r="B37" s="49" t="s">
        <v>70</v>
      </c>
      <c r="C37" s="49"/>
      <c r="D37" s="49"/>
      <c r="E37" s="49"/>
      <c r="F37" s="49"/>
      <c r="G37" s="49"/>
      <c r="H37" s="49"/>
      <c r="I37" s="49"/>
      <c r="J37" s="49"/>
      <c r="K37" s="49"/>
      <c r="L37" s="45" t="s">
        <v>88</v>
      </c>
      <c r="M37" s="44"/>
      <c r="N37" s="44"/>
      <c r="O37" s="44"/>
    </row>
    <row r="39" spans="2:12" ht="12.75">
      <c r="B39" s="11" t="s">
        <v>54</v>
      </c>
      <c r="L39" s="10" t="s">
        <v>42</v>
      </c>
    </row>
    <row r="40" spans="1:15" s="1" customFormat="1" ht="15" customHeight="1">
      <c r="A40" s="3"/>
      <c r="B40" s="49" t="s">
        <v>67</v>
      </c>
      <c r="C40" s="49"/>
      <c r="D40" s="49"/>
      <c r="E40" s="49"/>
      <c r="F40" s="49"/>
      <c r="G40" s="49"/>
      <c r="H40" s="49"/>
      <c r="I40" s="49"/>
      <c r="J40" s="49"/>
      <c r="K40" s="14"/>
      <c r="L40" s="45" t="s">
        <v>89</v>
      </c>
      <c r="M40" s="14"/>
      <c r="N40" s="14"/>
      <c r="O40" s="14"/>
    </row>
    <row r="42" spans="2:12" ht="12.75">
      <c r="B42" s="11" t="s">
        <v>55</v>
      </c>
      <c r="L42" s="10" t="s">
        <v>42</v>
      </c>
    </row>
    <row r="43" spans="1:15" s="2" customFormat="1" ht="15">
      <c r="A43" s="46"/>
      <c r="B43" s="49" t="s">
        <v>65</v>
      </c>
      <c r="C43" s="49"/>
      <c r="D43" s="49"/>
      <c r="E43" s="49"/>
      <c r="F43" s="49"/>
      <c r="G43" s="49"/>
      <c r="H43" s="49"/>
      <c r="I43" s="49"/>
      <c r="J43" s="49"/>
      <c r="K43" s="45"/>
      <c r="L43" s="45" t="s">
        <v>89</v>
      </c>
      <c r="M43" s="45"/>
      <c r="N43" s="45"/>
      <c r="O43" s="44"/>
    </row>
    <row r="45" spans="2:12" ht="12.75">
      <c r="B45" s="11" t="s">
        <v>56</v>
      </c>
      <c r="L45" s="10" t="s">
        <v>42</v>
      </c>
    </row>
    <row r="46" spans="2:15" s="46" customFormat="1" ht="15">
      <c r="B46" s="49" t="s">
        <v>66</v>
      </c>
      <c r="C46" s="49"/>
      <c r="D46" s="49"/>
      <c r="E46" s="49"/>
      <c r="F46" s="49"/>
      <c r="G46" s="49"/>
      <c r="H46" s="49"/>
      <c r="I46" s="49"/>
      <c r="J46" s="49"/>
      <c r="K46" s="49"/>
      <c r="L46" s="45" t="s">
        <v>89</v>
      </c>
      <c r="M46" s="44"/>
      <c r="N46" s="44"/>
      <c r="O46" s="44"/>
    </row>
    <row r="48" spans="2:12" ht="12.75">
      <c r="B48" s="11" t="s">
        <v>57</v>
      </c>
      <c r="L48" s="10" t="s">
        <v>42</v>
      </c>
    </row>
    <row r="49" spans="2:15" s="46" customFormat="1" ht="15">
      <c r="B49" s="49" t="s">
        <v>68</v>
      </c>
      <c r="C49" s="49"/>
      <c r="D49" s="49"/>
      <c r="E49" s="49"/>
      <c r="F49" s="49"/>
      <c r="G49" s="49"/>
      <c r="H49" s="49"/>
      <c r="I49" s="49"/>
      <c r="J49" s="49"/>
      <c r="K49" s="45"/>
      <c r="L49" s="45" t="s">
        <v>89</v>
      </c>
      <c r="M49" s="45"/>
      <c r="N49" s="44"/>
      <c r="O49" s="44"/>
    </row>
    <row r="51" spans="2:12" ht="12.75">
      <c r="B51" s="11" t="s">
        <v>58</v>
      </c>
      <c r="L51" s="10" t="s">
        <v>20</v>
      </c>
    </row>
    <row r="52" spans="1:15" s="1" customFormat="1" ht="15" customHeight="1">
      <c r="A52" s="3"/>
      <c r="B52" s="49" t="s">
        <v>61</v>
      </c>
      <c r="C52" s="49"/>
      <c r="D52" s="49"/>
      <c r="E52" s="49"/>
      <c r="F52" s="49"/>
      <c r="G52" s="49"/>
      <c r="H52" s="49"/>
      <c r="I52" s="49"/>
      <c r="J52" s="49"/>
      <c r="K52" s="14"/>
      <c r="L52" s="45" t="s">
        <v>90</v>
      </c>
      <c r="M52" s="14"/>
      <c r="N52" s="14"/>
      <c r="O52" s="14"/>
    </row>
    <row r="54" spans="2:12" ht="12.75">
      <c r="B54" s="11" t="s">
        <v>59</v>
      </c>
      <c r="L54" s="10" t="s">
        <v>20</v>
      </c>
    </row>
    <row r="55" spans="1:15" s="1" customFormat="1" ht="15" customHeight="1">
      <c r="A55" s="3"/>
      <c r="B55" s="49" t="s">
        <v>62</v>
      </c>
      <c r="C55" s="49"/>
      <c r="D55" s="49"/>
      <c r="E55" s="49"/>
      <c r="F55" s="49"/>
      <c r="G55" s="49"/>
      <c r="H55" s="49"/>
      <c r="I55" s="49"/>
      <c r="J55" s="49"/>
      <c r="K55" s="45"/>
      <c r="L55" s="45" t="s">
        <v>90</v>
      </c>
      <c r="M55" s="44"/>
      <c r="N55" s="44"/>
      <c r="O55" s="44"/>
    </row>
  </sheetData>
  <sheetProtection/>
  <mergeCells count="18">
    <mergeCell ref="B1:L1"/>
    <mergeCell ref="B7:J7"/>
    <mergeCell ref="B10:J10"/>
    <mergeCell ref="B13:J13"/>
    <mergeCell ref="B25:J25"/>
    <mergeCell ref="B28:J28"/>
    <mergeCell ref="B31:J31"/>
    <mergeCell ref="B34:J34"/>
    <mergeCell ref="B16:J16"/>
    <mergeCell ref="B19:J19"/>
    <mergeCell ref="B22:J22"/>
    <mergeCell ref="B52:J52"/>
    <mergeCell ref="B55:J55"/>
    <mergeCell ref="B37:K37"/>
    <mergeCell ref="B40:J40"/>
    <mergeCell ref="B46:K46"/>
    <mergeCell ref="B43:J43"/>
    <mergeCell ref="B49:J49"/>
  </mergeCells>
  <printOptions horizontalCentered="1" vertic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P82"/>
  <sheetViews>
    <sheetView rightToLeft="1" tabSelected="1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2" width="22.140625" style="0" customWidth="1"/>
    <col min="3" max="4" width="9.28125" style="0" bestFit="1" customWidth="1"/>
    <col min="5" max="5" width="11.421875" style="0" bestFit="1" customWidth="1"/>
    <col min="6" max="10" width="9.28125" style="0" bestFit="1" customWidth="1"/>
    <col min="11" max="11" width="12.421875" style="0" customWidth="1"/>
    <col min="12" max="12" width="9.28125" style="0" bestFit="1" customWidth="1"/>
    <col min="13" max="13" width="10.28125" style="0" bestFit="1" customWidth="1"/>
    <col min="14" max="14" width="9.28125" style="0" bestFit="1" customWidth="1"/>
    <col min="15" max="15" width="9.7109375" style="0" bestFit="1" customWidth="1"/>
  </cols>
  <sheetData>
    <row r="1" spans="1:2" s="4" customFormat="1" ht="9.75" customHeight="1">
      <c r="A1" s="6"/>
      <c r="B1" s="8"/>
    </row>
    <row r="2" spans="1:15" s="1" customFormat="1" ht="15" customHeight="1">
      <c r="A2" s="3"/>
      <c r="B2" s="53" t="s">
        <v>43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" customFormat="1" ht="15" customHeight="1">
      <c r="A3" s="3"/>
      <c r="B3" s="53" t="s">
        <v>78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4"/>
      <c r="O3" s="14"/>
    </row>
    <row r="4" spans="1:15" s="1" customFormat="1" ht="15" customHeight="1">
      <c r="A4" s="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1" customFormat="1" ht="63.75">
      <c r="A5" s="3"/>
      <c r="B5" s="15" t="s">
        <v>77</v>
      </c>
      <c r="C5" s="18" t="s">
        <v>16</v>
      </c>
      <c r="D5" s="18" t="s">
        <v>17</v>
      </c>
      <c r="E5" s="18" t="s">
        <v>18</v>
      </c>
      <c r="F5" s="18" t="s">
        <v>21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24" t="s">
        <v>85</v>
      </c>
    </row>
    <row r="6" spans="1:15" s="7" customFormat="1" ht="22.5">
      <c r="A6"/>
      <c r="B6" s="19" t="s">
        <v>1</v>
      </c>
      <c r="C6" s="20">
        <f>57+0+228+1+0+2+15+0</f>
        <v>303</v>
      </c>
      <c r="D6" s="21">
        <f>76+0+347+0+0+1+18+0</f>
        <v>442</v>
      </c>
      <c r="E6" s="21">
        <f>74+0+319+0+0+0+12+0</f>
        <v>405</v>
      </c>
      <c r="F6" s="21">
        <f>72+0+378+1+0+2+17+0</f>
        <v>470</v>
      </c>
      <c r="G6" s="21">
        <f>81+0+301+0+0+2+16</f>
        <v>400</v>
      </c>
      <c r="H6" s="21">
        <f>93+0+358+0+0+4+19+0</f>
        <v>474</v>
      </c>
      <c r="I6" s="21">
        <f>78+0+279+0+0+1+20+0</f>
        <v>378</v>
      </c>
      <c r="J6" s="41">
        <f>61+0+395+2+0+1+17+0</f>
        <v>476</v>
      </c>
      <c r="K6" s="21">
        <f>44+0+351+0+0+0+22+0</f>
        <v>417</v>
      </c>
      <c r="L6" s="21">
        <f>46+0+350+12</f>
        <v>408</v>
      </c>
      <c r="M6" s="21">
        <f>93+394+19+1</f>
        <v>507</v>
      </c>
      <c r="N6" s="21">
        <f>82+578+6+34</f>
        <v>700</v>
      </c>
      <c r="O6" s="22">
        <f aca="true" t="shared" si="0" ref="O6:O30">SUM(C6:N6)</f>
        <v>5380</v>
      </c>
    </row>
    <row r="7" spans="1:15" s="5" customFormat="1" ht="22.5">
      <c r="A7"/>
      <c r="B7" s="19" t="s">
        <v>2</v>
      </c>
      <c r="C7" s="20">
        <f>105+0+910+1+0+0+23+2</f>
        <v>1041</v>
      </c>
      <c r="D7" s="21">
        <f>131+0+1046+7+1+2+26+0</f>
        <v>1213</v>
      </c>
      <c r="E7" s="21">
        <f>198+0+1211+0+2+2+27+0</f>
        <v>1440</v>
      </c>
      <c r="F7" s="21">
        <f>137+0+1186+1+0+2+31+1</f>
        <v>1358</v>
      </c>
      <c r="G7" s="21">
        <f>129+0+1016+0+3+0+18+0</f>
        <v>1166</v>
      </c>
      <c r="H7" s="21">
        <f>168+0+1090+1+0+1+15+1</f>
        <v>1276</v>
      </c>
      <c r="I7" s="21">
        <f>97+0+1017+0+0+4+22+0</f>
        <v>1140</v>
      </c>
      <c r="J7" s="41">
        <f>156+0+1156+0+1+3+24</f>
        <v>1340</v>
      </c>
      <c r="K7" s="26">
        <f>157+0+1072+1+0+3+26+0</f>
        <v>1259</v>
      </c>
      <c r="L7" s="21">
        <f>168+1210+2+1+4+29+1</f>
        <v>1415</v>
      </c>
      <c r="M7" s="21">
        <f>179+1295+3+29+0</f>
        <v>1506</v>
      </c>
      <c r="N7" s="21">
        <f>173+1326+4+31+5</f>
        <v>1539</v>
      </c>
      <c r="O7" s="22">
        <f t="shared" si="0"/>
        <v>15693</v>
      </c>
    </row>
    <row r="8" spans="1:15" s="5" customFormat="1" ht="22.5">
      <c r="A8"/>
      <c r="B8" s="19" t="s">
        <v>3</v>
      </c>
      <c r="C8" s="20">
        <f>55+0+508+1+1+2+12</f>
        <v>579</v>
      </c>
      <c r="D8" s="21">
        <f>74+0+532+0+0+8+9+1</f>
        <v>624</v>
      </c>
      <c r="E8" s="21">
        <f>55+0+622+0+0+6+9+0</f>
        <v>692</v>
      </c>
      <c r="F8" s="21">
        <f>57+0+525+0+1+4+6+0</f>
        <v>593</v>
      </c>
      <c r="G8" s="21">
        <f>38+0+489+0+1+8+7+0</f>
        <v>543</v>
      </c>
      <c r="H8" s="21">
        <f>63+0+545+2+0+4+5+0</f>
        <v>619</v>
      </c>
      <c r="I8" s="21">
        <f>54+1+537+0+1+5+8+0</f>
        <v>606</v>
      </c>
      <c r="J8" s="41">
        <v>91</v>
      </c>
      <c r="K8" s="21">
        <f>59+0+562+1+0+4+11+2</f>
        <v>639</v>
      </c>
      <c r="L8" s="21">
        <f>57+671+3+3+12+2</f>
        <v>748</v>
      </c>
      <c r="M8" s="21">
        <f>66+584+4+8+0</f>
        <v>662</v>
      </c>
      <c r="N8" s="21">
        <f>77+720+5+13</f>
        <v>815</v>
      </c>
      <c r="O8" s="22">
        <f t="shared" si="0"/>
        <v>7211</v>
      </c>
    </row>
    <row r="9" spans="1:15" s="5" customFormat="1" ht="22.5">
      <c r="A9"/>
      <c r="B9" s="19" t="s">
        <v>4</v>
      </c>
      <c r="C9" s="20">
        <f>78+1+442+0+0+1+9+0</f>
        <v>531</v>
      </c>
      <c r="D9" s="21">
        <f>68+0+506+0+0+1+8+0</f>
        <v>583</v>
      </c>
      <c r="E9" s="21">
        <f>84+0+604+1+1+1+13</f>
        <v>704</v>
      </c>
      <c r="F9" s="21">
        <f>70+0+601+0+0+2+21+0</f>
        <v>694</v>
      </c>
      <c r="G9" s="21">
        <f>64+0+555+0+3+1+19+2</f>
        <v>644</v>
      </c>
      <c r="H9" s="21">
        <f>82+0+654+1+2+0+6+0</f>
        <v>745</v>
      </c>
      <c r="I9" s="21">
        <f>82+0+536+0+0+4+10+0</f>
        <v>632</v>
      </c>
      <c r="J9" s="41">
        <f>87+0+606+0+1+0+9+0</f>
        <v>703</v>
      </c>
      <c r="K9" s="21">
        <f>81+0+571+2+1+3+12+0</f>
        <v>670</v>
      </c>
      <c r="L9" s="21">
        <f>93+19+642+4+18+0</f>
        <v>776</v>
      </c>
      <c r="M9" s="21">
        <f>92+642+9+11</f>
        <v>754</v>
      </c>
      <c r="N9" s="21">
        <f>112+770+12+19</f>
        <v>913</v>
      </c>
      <c r="O9" s="22">
        <f t="shared" si="0"/>
        <v>8349</v>
      </c>
    </row>
    <row r="10" spans="1:15" s="5" customFormat="1" ht="22.5">
      <c r="A10"/>
      <c r="B10" s="19" t="s">
        <v>5</v>
      </c>
      <c r="C10" s="20">
        <f>75+2+350+0+0+1+1+0</f>
        <v>429</v>
      </c>
      <c r="D10" s="21">
        <f>84+2+416+1+0+1+3+0</f>
        <v>507</v>
      </c>
      <c r="E10" s="21">
        <f>90+0+418+0+0+4+8+0</f>
        <v>520</v>
      </c>
      <c r="F10" s="21">
        <f>88+0+396+0+0+0+5+0</f>
        <v>489</v>
      </c>
      <c r="G10" s="21">
        <f>82+0+368+0+1+2+5+0</f>
        <v>458</v>
      </c>
      <c r="H10" s="21">
        <f>88+0+379+0+0+2+6+0</f>
        <v>475</v>
      </c>
      <c r="I10" s="21">
        <f>67+2+352+0+0+3+5+0</f>
        <v>429</v>
      </c>
      <c r="J10" s="41">
        <v>530</v>
      </c>
      <c r="K10" s="21">
        <f>72+0+382+0+0+1+6+0</f>
        <v>461</v>
      </c>
      <c r="L10" s="21">
        <v>548</v>
      </c>
      <c r="M10" s="21">
        <f>100+470+2+9+0</f>
        <v>581</v>
      </c>
      <c r="N10" s="21">
        <f>96+479+11</f>
        <v>586</v>
      </c>
      <c r="O10" s="22">
        <f t="shared" si="0"/>
        <v>6013</v>
      </c>
    </row>
    <row r="11" spans="1:15" s="5" customFormat="1" ht="22.5">
      <c r="A11"/>
      <c r="B11" s="19" t="s">
        <v>6</v>
      </c>
      <c r="C11" s="20">
        <f>79+0+426+0+0+3+0+3</f>
        <v>511</v>
      </c>
      <c r="D11" s="21">
        <f>94+0+454+1+0+12+3+0</f>
        <v>564</v>
      </c>
      <c r="E11" s="21">
        <f>65+0+422+0+11+0+1+0</f>
        <v>499</v>
      </c>
      <c r="F11" s="21">
        <f>75+1+429+1+0+9+4+0</f>
        <v>519</v>
      </c>
      <c r="G11" s="21">
        <f>72+0+382+0+0+3+0</f>
        <v>457</v>
      </c>
      <c r="H11" s="21">
        <f>67+0+372+0+0+6+0+0</f>
        <v>445</v>
      </c>
      <c r="I11" s="41">
        <f>60+0+431+0+1+8+3+0</f>
        <v>503</v>
      </c>
      <c r="J11" s="41">
        <f>72+0+497+0+1+7+5+0</f>
        <v>582</v>
      </c>
      <c r="K11" s="21">
        <f>87+0+460+0+0+7+1</f>
        <v>555</v>
      </c>
      <c r="L11" s="21">
        <f>84+480+0+1+5+2+0</f>
        <v>572</v>
      </c>
      <c r="M11" s="21">
        <f>105+491+8+0</f>
        <v>604</v>
      </c>
      <c r="N11" s="27">
        <f>103+493+7</f>
        <v>603</v>
      </c>
      <c r="O11" s="22">
        <f>SUM(C11:N11)</f>
        <v>6414</v>
      </c>
    </row>
    <row r="12" spans="1:15" s="5" customFormat="1" ht="22.5">
      <c r="A12"/>
      <c r="B12" s="19" t="s">
        <v>7</v>
      </c>
      <c r="C12" s="20">
        <f>85+0+445+0+0+3+3+0</f>
        <v>536</v>
      </c>
      <c r="D12" s="21">
        <f>77+3+635+0+0+9+5+0</f>
        <v>729</v>
      </c>
      <c r="E12" s="21">
        <f>106+1+667+1+0+6+3+0</f>
        <v>784</v>
      </c>
      <c r="F12" s="21">
        <f>98+2+699+0+0+5+3+0</f>
        <v>807</v>
      </c>
      <c r="G12" s="21">
        <f>84+0+509+0+1+6+1+1</f>
        <v>602</v>
      </c>
      <c r="H12" s="21">
        <f>105+1+523+0+0+4+3+0</f>
        <v>636</v>
      </c>
      <c r="I12" s="21">
        <f>93+0+583+3+0+2+7+1</f>
        <v>689</v>
      </c>
      <c r="J12" s="41">
        <f>122+0+772+0+1+9+7+0</f>
        <v>911</v>
      </c>
      <c r="K12" s="21">
        <f>81+0+716+0+1+0+2+0</f>
        <v>800</v>
      </c>
      <c r="L12" s="21">
        <f>127+770+5+1</f>
        <v>903</v>
      </c>
      <c r="M12" s="21">
        <f>107+901+3+5+13+1</f>
        <v>1030</v>
      </c>
      <c r="N12" s="21">
        <f>124+689+5+19</f>
        <v>837</v>
      </c>
      <c r="O12" s="22">
        <f t="shared" si="0"/>
        <v>9264</v>
      </c>
    </row>
    <row r="13" spans="1:15" s="5" customFormat="1" ht="22.5">
      <c r="A13"/>
      <c r="B13" s="19" t="s">
        <v>8</v>
      </c>
      <c r="C13" s="20">
        <f>42+0+445+0+0+0+6+0</f>
        <v>493</v>
      </c>
      <c r="D13" s="20">
        <f>64+0+495+0+0+0+14+0</f>
        <v>573</v>
      </c>
      <c r="E13" s="21">
        <f>65+0+587+0+1+0+1+1</f>
        <v>655</v>
      </c>
      <c r="F13" s="21">
        <f>72+0+526+0+1+0+9+0</f>
        <v>608</v>
      </c>
      <c r="G13" s="21">
        <f>45+0+447+0+1+0+6+0</f>
        <v>499</v>
      </c>
      <c r="H13" s="21">
        <f>64+0+493+0+1+0+10+0</f>
        <v>568</v>
      </c>
      <c r="I13" s="21">
        <f>74+0+514+1+0+0+7+0</f>
        <v>596</v>
      </c>
      <c r="J13" s="41">
        <f>59+0+661+0+0+0+23+0</f>
        <v>743</v>
      </c>
      <c r="K13" s="27">
        <f>77+0+517+0+3+0+15+0</f>
        <v>612</v>
      </c>
      <c r="L13" s="21">
        <f>70+593+1+2+0+19+0</f>
        <v>685</v>
      </c>
      <c r="M13" s="21">
        <f>64+536+12</f>
        <v>612</v>
      </c>
      <c r="N13" s="21">
        <f>80+719+24+0</f>
        <v>823</v>
      </c>
      <c r="O13" s="22">
        <f t="shared" si="0"/>
        <v>7467</v>
      </c>
    </row>
    <row r="14" spans="1:15" s="5" customFormat="1" ht="22.5">
      <c r="A14"/>
      <c r="B14" s="19" t="s">
        <v>9</v>
      </c>
      <c r="C14" s="20">
        <f>51+0+427+0+2+0+7+0</f>
        <v>487</v>
      </c>
      <c r="D14" s="20">
        <f>63+0+466+0+1+0+3+0</f>
        <v>533</v>
      </c>
      <c r="E14" s="21">
        <f>65+0+492+0+1+0+0+1</f>
        <v>559</v>
      </c>
      <c r="F14" s="21">
        <f>61+0+528+0+0+0+0+0</f>
        <v>589</v>
      </c>
      <c r="G14" s="21">
        <f>38+0+440+0+0+0+4+0</f>
        <v>482</v>
      </c>
      <c r="H14" s="21">
        <f>48+0+387+0+1+0+0+1</f>
        <v>437</v>
      </c>
      <c r="I14" s="21">
        <f>38+0+423+1+2+0+0+0</f>
        <v>464</v>
      </c>
      <c r="J14" s="41">
        <f>51+0+565+0+2+0+3+0</f>
        <v>621</v>
      </c>
      <c r="K14" s="21">
        <f>57+473+1+0</f>
        <v>531</v>
      </c>
      <c r="L14" s="21">
        <f>54+524+0</f>
        <v>578</v>
      </c>
      <c r="M14" s="21">
        <f>55+577+5</f>
        <v>637</v>
      </c>
      <c r="N14" s="21">
        <f>63+518+7</f>
        <v>588</v>
      </c>
      <c r="O14" s="22">
        <f t="shared" si="0"/>
        <v>6506</v>
      </c>
    </row>
    <row r="15" spans="1:15" s="5" customFormat="1" ht="22.5">
      <c r="A15"/>
      <c r="B15" s="19" t="s">
        <v>22</v>
      </c>
      <c r="C15" s="20">
        <f>SUM(C6:C14)</f>
        <v>4910</v>
      </c>
      <c r="D15" s="21">
        <f aca="true" t="shared" si="1" ref="D15:O15">SUM(D6:D14)</f>
        <v>5768</v>
      </c>
      <c r="E15" s="21">
        <f t="shared" si="1"/>
        <v>6258</v>
      </c>
      <c r="F15" s="21">
        <f t="shared" si="1"/>
        <v>6127</v>
      </c>
      <c r="G15" s="21">
        <f t="shared" si="1"/>
        <v>5251</v>
      </c>
      <c r="H15" s="21">
        <f t="shared" si="1"/>
        <v>5675</v>
      </c>
      <c r="I15" s="21">
        <f t="shared" si="1"/>
        <v>5437</v>
      </c>
      <c r="J15" s="21">
        <f t="shared" si="1"/>
        <v>5997</v>
      </c>
      <c r="K15" s="21">
        <f t="shared" si="1"/>
        <v>5944</v>
      </c>
      <c r="L15" s="21">
        <f t="shared" si="1"/>
        <v>6633</v>
      </c>
      <c r="M15" s="21">
        <f t="shared" si="1"/>
        <v>6893</v>
      </c>
      <c r="N15" s="21">
        <f t="shared" si="1"/>
        <v>7404</v>
      </c>
      <c r="O15" s="21">
        <f t="shared" si="1"/>
        <v>72297</v>
      </c>
    </row>
    <row r="16" spans="1:15" s="2" customFormat="1" ht="12.75">
      <c r="A16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2" customFormat="1" ht="14.25">
      <c r="A17"/>
      <c r="B17" s="53" t="s">
        <v>44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s="2" customFormat="1" ht="14.25">
      <c r="A18"/>
      <c r="B18" s="53" t="s">
        <v>79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14"/>
      <c r="O18" s="14"/>
    </row>
    <row r="19" spans="1:15" s="2" customFormat="1" ht="14.25">
      <c r="A19"/>
      <c r="B19" s="14" t="s">
        <v>23</v>
      </c>
      <c r="C19" s="14"/>
      <c r="D19" s="14"/>
      <c r="E19" s="14"/>
      <c r="F19" s="54" t="s">
        <v>24</v>
      </c>
      <c r="G19" s="54"/>
      <c r="H19" s="54"/>
      <c r="I19" s="14"/>
      <c r="J19" s="14"/>
      <c r="K19" s="14"/>
      <c r="L19" s="14"/>
      <c r="M19" s="14"/>
      <c r="N19" s="14"/>
      <c r="O19" s="14"/>
    </row>
    <row r="20" spans="1:15" s="2" customFormat="1" ht="12.75">
      <c r="A20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5" customFormat="1" ht="63.75">
      <c r="A21"/>
      <c r="B21" s="15" t="s">
        <v>77</v>
      </c>
      <c r="C21" s="18" t="s">
        <v>16</v>
      </c>
      <c r="D21" s="18" t="s">
        <v>17</v>
      </c>
      <c r="E21" s="18" t="s">
        <v>18</v>
      </c>
      <c r="F21" s="18" t="s">
        <v>21</v>
      </c>
      <c r="G21" s="18" t="s">
        <v>25</v>
      </c>
      <c r="H21" s="18" t="s">
        <v>26</v>
      </c>
      <c r="I21" s="18" t="s">
        <v>27</v>
      </c>
      <c r="J21" s="18" t="s">
        <v>28</v>
      </c>
      <c r="K21" s="18" t="s">
        <v>29</v>
      </c>
      <c r="L21" s="18" t="s">
        <v>30</v>
      </c>
      <c r="M21" s="18" t="s">
        <v>31</v>
      </c>
      <c r="N21" s="18" t="s">
        <v>32</v>
      </c>
      <c r="O21" s="24" t="s">
        <v>85</v>
      </c>
    </row>
    <row r="22" spans="1:15" s="5" customFormat="1" ht="22.5">
      <c r="A22"/>
      <c r="B22" s="19" t="s">
        <v>1</v>
      </c>
      <c r="C22" s="20">
        <v>141757</v>
      </c>
      <c r="D22" s="20">
        <v>500932</v>
      </c>
      <c r="E22" s="20">
        <v>217064</v>
      </c>
      <c r="F22" s="20">
        <v>297910</v>
      </c>
      <c r="G22" s="20">
        <v>201682</v>
      </c>
      <c r="H22" s="20">
        <v>270022</v>
      </c>
      <c r="I22" s="20">
        <v>201686</v>
      </c>
      <c r="J22" s="20">
        <v>282233</v>
      </c>
      <c r="K22" s="20">
        <v>286562</v>
      </c>
      <c r="L22" s="20">
        <v>168748</v>
      </c>
      <c r="M22" s="20">
        <v>269303</v>
      </c>
      <c r="N22" s="20">
        <v>515327</v>
      </c>
      <c r="O22" s="23">
        <f t="shared" si="0"/>
        <v>3353226</v>
      </c>
    </row>
    <row r="23" spans="1:15" s="5" customFormat="1" ht="22.5">
      <c r="A23"/>
      <c r="B23" s="19" t="s">
        <v>10</v>
      </c>
      <c r="C23" s="20">
        <v>226395</v>
      </c>
      <c r="D23" s="20">
        <v>201465</v>
      </c>
      <c r="E23" s="20">
        <v>301443</v>
      </c>
      <c r="F23" s="20">
        <v>220442</v>
      </c>
      <c r="G23" s="20">
        <v>272838</v>
      </c>
      <c r="H23" s="20">
        <v>215574</v>
      </c>
      <c r="I23" s="20">
        <v>200455</v>
      </c>
      <c r="J23" s="20">
        <v>251000</v>
      </c>
      <c r="K23" s="20">
        <v>311641</v>
      </c>
      <c r="L23" s="20">
        <v>253662</v>
      </c>
      <c r="M23" s="20">
        <v>276353</v>
      </c>
      <c r="N23" s="20">
        <v>255869</v>
      </c>
      <c r="O23" s="23">
        <f t="shared" si="0"/>
        <v>2987137</v>
      </c>
    </row>
    <row r="24" spans="1:15" s="5" customFormat="1" ht="22.5">
      <c r="A24"/>
      <c r="B24" s="19" t="s">
        <v>11</v>
      </c>
      <c r="C24" s="20">
        <v>90790</v>
      </c>
      <c r="D24" s="20">
        <v>106494</v>
      </c>
      <c r="E24" s="20">
        <v>115288</v>
      </c>
      <c r="F24" s="20">
        <v>106945</v>
      </c>
      <c r="G24" s="20">
        <v>101911</v>
      </c>
      <c r="H24" s="20">
        <v>103639</v>
      </c>
      <c r="I24" s="20">
        <v>103101</v>
      </c>
      <c r="J24" s="20">
        <v>107929</v>
      </c>
      <c r="K24" s="20">
        <v>89194</v>
      </c>
      <c r="L24" s="20">
        <v>116232</v>
      </c>
      <c r="M24" s="20">
        <v>114592</v>
      </c>
      <c r="N24" s="20">
        <v>166404</v>
      </c>
      <c r="O24" s="23">
        <f t="shared" si="0"/>
        <v>1322519</v>
      </c>
    </row>
    <row r="25" spans="1:15" s="1" customFormat="1" ht="22.5">
      <c r="A25"/>
      <c r="B25" s="19" t="s">
        <v>12</v>
      </c>
      <c r="C25" s="20">
        <v>137201</v>
      </c>
      <c r="D25" s="20">
        <v>146119</v>
      </c>
      <c r="E25" s="20">
        <v>209129</v>
      </c>
      <c r="F25" s="20">
        <v>187494</v>
      </c>
      <c r="G25" s="20">
        <v>170877</v>
      </c>
      <c r="H25" s="20">
        <v>192380</v>
      </c>
      <c r="I25" s="20">
        <v>171178</v>
      </c>
      <c r="J25" s="20">
        <v>208784</v>
      </c>
      <c r="K25" s="20">
        <v>209082</v>
      </c>
      <c r="L25" s="20">
        <v>166359</v>
      </c>
      <c r="M25" s="20">
        <v>221991</v>
      </c>
      <c r="N25" s="20">
        <v>271858</v>
      </c>
      <c r="O25" s="23">
        <f t="shared" si="0"/>
        <v>2292452</v>
      </c>
    </row>
    <row r="26" spans="1:15" s="1" customFormat="1" ht="22.5">
      <c r="A26"/>
      <c r="B26" s="19" t="s">
        <v>5</v>
      </c>
      <c r="C26" s="20">
        <v>28713</v>
      </c>
      <c r="D26" s="20">
        <v>34828</v>
      </c>
      <c r="E26" s="20">
        <v>39424</v>
      </c>
      <c r="F26" s="20">
        <v>39705</v>
      </c>
      <c r="G26" s="20">
        <v>29661</v>
      </c>
      <c r="H26" s="20">
        <v>30813</v>
      </c>
      <c r="I26" s="20">
        <v>37235</v>
      </c>
      <c r="J26" s="20">
        <v>33724</v>
      </c>
      <c r="K26" s="20">
        <v>25447</v>
      </c>
      <c r="L26" s="20">
        <v>32385</v>
      </c>
      <c r="M26" s="21">
        <v>39532</v>
      </c>
      <c r="N26" s="20">
        <v>42618</v>
      </c>
      <c r="O26" s="23">
        <f t="shared" si="0"/>
        <v>414085</v>
      </c>
    </row>
    <row r="27" spans="1:15" s="1" customFormat="1" ht="22.5">
      <c r="A27"/>
      <c r="B27" s="19" t="s">
        <v>6</v>
      </c>
      <c r="C27" s="20">
        <v>40568</v>
      </c>
      <c r="D27" s="20">
        <v>44035</v>
      </c>
      <c r="E27" s="20">
        <v>40085</v>
      </c>
      <c r="F27" s="20">
        <v>32557</v>
      </c>
      <c r="G27" s="20">
        <v>31165</v>
      </c>
      <c r="H27" s="20">
        <v>42704</v>
      </c>
      <c r="I27" s="20">
        <v>36396</v>
      </c>
      <c r="J27" s="20">
        <v>38970</v>
      </c>
      <c r="K27" s="20">
        <v>34981</v>
      </c>
      <c r="L27" s="20">
        <v>39911</v>
      </c>
      <c r="M27" s="20">
        <v>40950</v>
      </c>
      <c r="N27" s="27">
        <v>50135</v>
      </c>
      <c r="O27" s="23">
        <f>SUM(C27:N27)</f>
        <v>472457</v>
      </c>
    </row>
    <row r="28" spans="1:15" s="1" customFormat="1" ht="22.5">
      <c r="A28"/>
      <c r="B28" s="19" t="s">
        <v>13</v>
      </c>
      <c r="C28" s="20">
        <v>19919</v>
      </c>
      <c r="D28" s="20">
        <v>41907</v>
      </c>
      <c r="E28" s="20">
        <v>45019</v>
      </c>
      <c r="F28" s="20">
        <v>46032</v>
      </c>
      <c r="G28" s="20">
        <v>26837</v>
      </c>
      <c r="H28" s="20">
        <v>31268</v>
      </c>
      <c r="I28" s="20">
        <v>37114</v>
      </c>
      <c r="J28" s="20">
        <v>37075</v>
      </c>
      <c r="K28" s="20">
        <v>35583</v>
      </c>
      <c r="L28" s="20">
        <v>39955</v>
      </c>
      <c r="M28" s="20">
        <v>64784</v>
      </c>
      <c r="N28" s="20">
        <v>38119</v>
      </c>
      <c r="O28" s="23">
        <f t="shared" si="0"/>
        <v>463612</v>
      </c>
    </row>
    <row r="29" spans="1:15" s="1" customFormat="1" ht="22.5">
      <c r="A29"/>
      <c r="B29" s="19" t="s">
        <v>15</v>
      </c>
      <c r="C29" s="20">
        <v>78092</v>
      </c>
      <c r="D29" s="20">
        <v>94540</v>
      </c>
      <c r="E29" s="20">
        <v>76540</v>
      </c>
      <c r="F29" s="20">
        <v>64853</v>
      </c>
      <c r="G29" s="20">
        <v>57052</v>
      </c>
      <c r="H29" s="20">
        <v>77023</v>
      </c>
      <c r="I29" s="20">
        <v>62926</v>
      </c>
      <c r="J29" s="20">
        <v>79126</v>
      </c>
      <c r="K29" s="27">
        <v>62083</v>
      </c>
      <c r="L29" s="20">
        <v>57393</v>
      </c>
      <c r="M29" s="20">
        <v>62776</v>
      </c>
      <c r="N29" s="20">
        <v>110633</v>
      </c>
      <c r="O29" s="23">
        <f t="shared" si="0"/>
        <v>883037</v>
      </c>
    </row>
    <row r="30" spans="1:15" s="1" customFormat="1" ht="22.5">
      <c r="A30"/>
      <c r="B30" s="19" t="s">
        <v>14</v>
      </c>
      <c r="C30" s="20">
        <v>22117</v>
      </c>
      <c r="D30" s="20">
        <v>26827</v>
      </c>
      <c r="E30" s="20">
        <v>29019</v>
      </c>
      <c r="F30" s="20">
        <v>30237</v>
      </c>
      <c r="G30" s="20">
        <v>28412</v>
      </c>
      <c r="H30" s="20">
        <v>26319</v>
      </c>
      <c r="I30" s="20">
        <v>27216</v>
      </c>
      <c r="J30" s="20">
        <v>33988</v>
      </c>
      <c r="K30" s="20">
        <v>29291</v>
      </c>
      <c r="L30" s="20">
        <v>35500</v>
      </c>
      <c r="M30" s="20">
        <v>39360</v>
      </c>
      <c r="N30" s="20">
        <v>34600</v>
      </c>
      <c r="O30" s="23">
        <f t="shared" si="0"/>
        <v>362886</v>
      </c>
    </row>
    <row r="31" spans="1:15" s="1" customFormat="1" ht="22.5">
      <c r="A31"/>
      <c r="B31" s="19" t="s">
        <v>22</v>
      </c>
      <c r="C31" s="20">
        <f>SUM(C22:C30)</f>
        <v>785552</v>
      </c>
      <c r="D31" s="20">
        <f aca="true" t="shared" si="2" ref="D31:O31">SUM(D22:D30)</f>
        <v>1197147</v>
      </c>
      <c r="E31" s="20">
        <f t="shared" si="2"/>
        <v>1073011</v>
      </c>
      <c r="F31" s="20">
        <f t="shared" si="2"/>
        <v>1026175</v>
      </c>
      <c r="G31" s="20">
        <f t="shared" si="2"/>
        <v>920435</v>
      </c>
      <c r="H31" s="20">
        <f t="shared" si="2"/>
        <v>989742</v>
      </c>
      <c r="I31" s="20">
        <f t="shared" si="2"/>
        <v>877307</v>
      </c>
      <c r="J31" s="20">
        <f t="shared" si="2"/>
        <v>1072829</v>
      </c>
      <c r="K31" s="20">
        <f t="shared" si="2"/>
        <v>1083864</v>
      </c>
      <c r="L31" s="20">
        <f t="shared" si="2"/>
        <v>910145</v>
      </c>
      <c r="M31" s="20">
        <f t="shared" si="2"/>
        <v>1129641</v>
      </c>
      <c r="N31" s="20">
        <f t="shared" si="2"/>
        <v>1485563</v>
      </c>
      <c r="O31" s="20">
        <f t="shared" si="2"/>
        <v>12551411</v>
      </c>
    </row>
    <row r="33" spans="2:15" ht="12.75"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ht="14.25">
      <c r="B34" s="53" t="s">
        <v>45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2:15" ht="14.25">
      <c r="B35" s="53" t="s">
        <v>80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14"/>
      <c r="O35" s="14"/>
    </row>
    <row r="36" spans="2:15" ht="14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 ht="63.75">
      <c r="B37" s="15" t="s">
        <v>77</v>
      </c>
      <c r="C37" s="24" t="s">
        <v>16</v>
      </c>
      <c r="D37" s="24" t="s">
        <v>17</v>
      </c>
      <c r="E37" s="24" t="s">
        <v>18</v>
      </c>
      <c r="F37" s="24" t="s">
        <v>21</v>
      </c>
      <c r="G37" s="24" t="s">
        <v>25</v>
      </c>
      <c r="H37" s="24" t="s">
        <v>26</v>
      </c>
      <c r="I37" s="24" t="s">
        <v>27</v>
      </c>
      <c r="J37" s="24" t="s">
        <v>28</v>
      </c>
      <c r="K37" s="24" t="s">
        <v>29</v>
      </c>
      <c r="L37" s="24" t="s">
        <v>30</v>
      </c>
      <c r="M37" s="24" t="s">
        <v>31</v>
      </c>
      <c r="N37" s="24" t="s">
        <v>32</v>
      </c>
      <c r="O37" s="24" t="s">
        <v>85</v>
      </c>
    </row>
    <row r="38" spans="2:15" ht="22.5">
      <c r="B38" s="19" t="s">
        <v>1</v>
      </c>
      <c r="C38" s="20">
        <f>53+0+9</f>
        <v>62</v>
      </c>
      <c r="D38" s="20">
        <f>74+0+7</f>
        <v>81</v>
      </c>
      <c r="E38" s="20">
        <f>89+19+7</f>
        <v>115</v>
      </c>
      <c r="F38" s="26">
        <f>74+20+11</f>
        <v>105</v>
      </c>
      <c r="G38" s="20">
        <f>76+0+19</f>
        <v>95</v>
      </c>
      <c r="H38" s="20">
        <f>84+2+2</f>
        <v>88</v>
      </c>
      <c r="I38" s="20">
        <v>79</v>
      </c>
      <c r="J38" s="20">
        <f>92+0+1</f>
        <v>93</v>
      </c>
      <c r="K38" s="20">
        <f>92+0+2</f>
        <v>94</v>
      </c>
      <c r="L38" s="20">
        <f>82+41</f>
        <v>123</v>
      </c>
      <c r="M38" s="20">
        <f>100+5</f>
        <v>105</v>
      </c>
      <c r="N38" s="20">
        <v>90</v>
      </c>
      <c r="O38" s="23">
        <f aca="true" t="shared" si="3" ref="O38:O46">SUM(C38:N38)</f>
        <v>1130</v>
      </c>
    </row>
    <row r="39" spans="2:15" ht="22.5">
      <c r="B39" s="19" t="s">
        <v>2</v>
      </c>
      <c r="C39" s="20">
        <f>298+0+11</f>
        <v>309</v>
      </c>
      <c r="D39" s="20">
        <f>370+0+15</f>
        <v>385</v>
      </c>
      <c r="E39" s="20">
        <f>424+0+24</f>
        <v>448</v>
      </c>
      <c r="F39" s="26">
        <f>430+0+19</f>
        <v>449</v>
      </c>
      <c r="G39" s="20">
        <f>438+0+12</f>
        <v>450</v>
      </c>
      <c r="H39" s="20">
        <f>354+0+8</f>
        <v>362</v>
      </c>
      <c r="I39" s="20">
        <f>400+0+30</f>
        <v>430</v>
      </c>
      <c r="J39" s="20">
        <f>432+1+5</f>
        <v>438</v>
      </c>
      <c r="K39" s="35">
        <f>421+1+7</f>
        <v>429</v>
      </c>
      <c r="L39" s="20">
        <f>444+36</f>
        <v>480</v>
      </c>
      <c r="M39" s="20">
        <f>478+1+15</f>
        <v>494</v>
      </c>
      <c r="N39" s="20">
        <f>449+9</f>
        <v>458</v>
      </c>
      <c r="O39" s="23">
        <f t="shared" si="3"/>
        <v>5132</v>
      </c>
    </row>
    <row r="40" spans="2:15" ht="22.5">
      <c r="B40" s="19" t="s">
        <v>3</v>
      </c>
      <c r="C40" s="20">
        <f>161+0+7</f>
        <v>168</v>
      </c>
      <c r="D40" s="20">
        <f>157+0+27</f>
        <v>184</v>
      </c>
      <c r="E40" s="20">
        <f>195+0+17</f>
        <v>212</v>
      </c>
      <c r="F40" s="26">
        <f>180+0+28</f>
        <v>208</v>
      </c>
      <c r="G40" s="20">
        <f>170+0+15</f>
        <v>185</v>
      </c>
      <c r="H40" s="20">
        <f>200+0+11</f>
        <v>211</v>
      </c>
      <c r="I40" s="20">
        <f>163+21</f>
        <v>184</v>
      </c>
      <c r="J40" s="20">
        <f>182+0+3</f>
        <v>185</v>
      </c>
      <c r="K40" s="20">
        <f>159</f>
        <v>159</v>
      </c>
      <c r="L40" s="20">
        <f>214+19</f>
        <v>233</v>
      </c>
      <c r="M40" s="20">
        <f>229+8</f>
        <v>237</v>
      </c>
      <c r="N40" s="20">
        <v>197</v>
      </c>
      <c r="O40" s="23">
        <f t="shared" si="3"/>
        <v>2363</v>
      </c>
    </row>
    <row r="41" spans="2:15" ht="22.5">
      <c r="B41" s="19" t="s">
        <v>4</v>
      </c>
      <c r="C41" s="20">
        <f>198+0+21</f>
        <v>219</v>
      </c>
      <c r="D41" s="20">
        <f>206+0+11</f>
        <v>217</v>
      </c>
      <c r="E41" s="20">
        <f>215+0+28</f>
        <v>243</v>
      </c>
      <c r="F41" s="26">
        <f>276+0+52</f>
        <v>328</v>
      </c>
      <c r="G41" s="20">
        <f>236+0+31</f>
        <v>267</v>
      </c>
      <c r="H41" s="20">
        <f>284+0+24</f>
        <v>308</v>
      </c>
      <c r="I41" s="20">
        <f>205+18</f>
        <v>223</v>
      </c>
      <c r="J41" s="20">
        <f>226+0+8</f>
        <v>234</v>
      </c>
      <c r="K41" s="20">
        <f>275</f>
        <v>275</v>
      </c>
      <c r="L41" s="20">
        <f>258+35</f>
        <v>293</v>
      </c>
      <c r="M41" s="20">
        <f>224+31</f>
        <v>255</v>
      </c>
      <c r="N41" s="20">
        <v>292</v>
      </c>
      <c r="O41" s="23">
        <f t="shared" si="3"/>
        <v>3154</v>
      </c>
    </row>
    <row r="42" spans="2:15" ht="22.5">
      <c r="B42" s="19" t="s">
        <v>5</v>
      </c>
      <c r="C42" s="20">
        <f>76+0+12</f>
        <v>88</v>
      </c>
      <c r="D42" s="20">
        <f>78+0+5</f>
        <v>83</v>
      </c>
      <c r="E42" s="20">
        <f>94+0+5</f>
        <v>99</v>
      </c>
      <c r="F42" s="26">
        <f>99+0+3</f>
        <v>102</v>
      </c>
      <c r="G42" s="20">
        <f>82+0+4</f>
        <v>86</v>
      </c>
      <c r="H42" s="20">
        <f>94+0+4</f>
        <v>98</v>
      </c>
      <c r="I42" s="20">
        <f>85+0+4</f>
        <v>89</v>
      </c>
      <c r="J42" s="20">
        <f>98+0+4</f>
        <v>102</v>
      </c>
      <c r="K42" s="20">
        <f>74+0+2</f>
        <v>76</v>
      </c>
      <c r="L42" s="20">
        <f>73</f>
        <v>73</v>
      </c>
      <c r="M42" s="20">
        <f>110</f>
        <v>110</v>
      </c>
      <c r="N42" s="20">
        <f>84</f>
        <v>84</v>
      </c>
      <c r="O42" s="23">
        <f t="shared" si="3"/>
        <v>1090</v>
      </c>
    </row>
    <row r="43" spans="2:15" ht="22.5">
      <c r="B43" s="19" t="s">
        <v>6</v>
      </c>
      <c r="C43" s="20">
        <f>66+0+2</f>
        <v>68</v>
      </c>
      <c r="D43" s="20">
        <f>71+0+2</f>
        <v>73</v>
      </c>
      <c r="E43" s="20">
        <f>81+0+2</f>
        <v>83</v>
      </c>
      <c r="F43" s="26">
        <f>90+0+5</f>
        <v>95</v>
      </c>
      <c r="G43" s="20">
        <f>89+0+5</f>
        <v>94</v>
      </c>
      <c r="H43" s="20">
        <f>105+0+0</f>
        <v>105</v>
      </c>
      <c r="I43" s="20">
        <f>0+1</f>
        <v>1</v>
      </c>
      <c r="J43" s="20">
        <f>82+0+3</f>
        <v>85</v>
      </c>
      <c r="K43" s="20">
        <f>76+0+3</f>
        <v>79</v>
      </c>
      <c r="L43" s="20">
        <f>91</f>
        <v>91</v>
      </c>
      <c r="M43" s="20">
        <f>102</f>
        <v>102</v>
      </c>
      <c r="N43" s="20">
        <v>102</v>
      </c>
      <c r="O43" s="23">
        <f t="shared" si="3"/>
        <v>978</v>
      </c>
    </row>
    <row r="44" spans="2:15" ht="22.5">
      <c r="B44" s="19" t="s">
        <v>7</v>
      </c>
      <c r="C44" s="20">
        <f>64+0+8</f>
        <v>72</v>
      </c>
      <c r="D44" s="20">
        <f>71+0+29</f>
        <v>100</v>
      </c>
      <c r="E44" s="20">
        <f>82+0+29</f>
        <v>111</v>
      </c>
      <c r="F44" s="26">
        <f>96+0+51</f>
        <v>147</v>
      </c>
      <c r="G44" s="20">
        <f>75+0+26</f>
        <v>101</v>
      </c>
      <c r="H44" s="20">
        <f>88+0+11</f>
        <v>99</v>
      </c>
      <c r="I44" s="20">
        <v>88</v>
      </c>
      <c r="J44" s="20">
        <f>81+2</f>
        <v>83</v>
      </c>
      <c r="K44" s="20">
        <f>71+5+7</f>
        <v>83</v>
      </c>
      <c r="L44" s="20">
        <f>99+17</f>
        <v>116</v>
      </c>
      <c r="M44" s="20">
        <f>75+17</f>
        <v>92</v>
      </c>
      <c r="N44" s="20">
        <f>76+9</f>
        <v>85</v>
      </c>
      <c r="O44" s="23">
        <f t="shared" si="3"/>
        <v>1177</v>
      </c>
    </row>
    <row r="45" spans="2:15" ht="22.5">
      <c r="B45" s="19" t="s">
        <v>8</v>
      </c>
      <c r="C45" s="20">
        <f>54+0+9</f>
        <v>63</v>
      </c>
      <c r="D45" s="20">
        <f>76+0+13</f>
        <v>89</v>
      </c>
      <c r="E45" s="20">
        <f>78+0+17</f>
        <v>95</v>
      </c>
      <c r="F45" s="26">
        <f>68+0+16</f>
        <v>84</v>
      </c>
      <c r="G45" s="20">
        <f>75+0+1</f>
        <v>76</v>
      </c>
      <c r="H45" s="20">
        <f>87+0+5</f>
        <v>92</v>
      </c>
      <c r="I45" s="20">
        <v>77</v>
      </c>
      <c r="J45" s="20">
        <f>104+0+3</f>
        <v>107</v>
      </c>
      <c r="K45" s="20">
        <f>70+0+0</f>
        <v>70</v>
      </c>
      <c r="L45" s="20">
        <f>65+1</f>
        <v>66</v>
      </c>
      <c r="M45" s="20">
        <f>73</f>
        <v>73</v>
      </c>
      <c r="N45" s="20">
        <v>92</v>
      </c>
      <c r="O45" s="23">
        <f t="shared" si="3"/>
        <v>984</v>
      </c>
    </row>
    <row r="46" spans="2:15" ht="22.5">
      <c r="B46" s="19" t="s">
        <v>9</v>
      </c>
      <c r="C46" s="20">
        <f>52+0+9</f>
        <v>61</v>
      </c>
      <c r="D46" s="20">
        <f>75+0+16</f>
        <v>91</v>
      </c>
      <c r="E46" s="20">
        <f>80+0+22</f>
        <v>102</v>
      </c>
      <c r="F46" s="26">
        <f>71+0+26</f>
        <v>97</v>
      </c>
      <c r="G46" s="20">
        <f>91+0+11</f>
        <v>102</v>
      </c>
      <c r="H46" s="20">
        <f>83+0+13</f>
        <v>96</v>
      </c>
      <c r="I46" s="20">
        <v>86</v>
      </c>
      <c r="J46" s="20">
        <f>90+3</f>
        <v>93</v>
      </c>
      <c r="K46" s="20">
        <f>86+0+4</f>
        <v>90</v>
      </c>
      <c r="L46" s="20">
        <f>82+18</f>
        <v>100</v>
      </c>
      <c r="M46" s="20">
        <f>82+17</f>
        <v>99</v>
      </c>
      <c r="N46" s="20">
        <v>88</v>
      </c>
      <c r="O46" s="23">
        <f t="shared" si="3"/>
        <v>1105</v>
      </c>
    </row>
    <row r="47" spans="2:15" ht="22.5">
      <c r="B47" s="19" t="s">
        <v>22</v>
      </c>
      <c r="C47" s="20">
        <f>SUM(C38:C46)</f>
        <v>1110</v>
      </c>
      <c r="D47" s="20">
        <f aca="true" t="shared" si="4" ref="D47:O47">SUM(D38:D46)</f>
        <v>1303</v>
      </c>
      <c r="E47" s="20">
        <f t="shared" si="4"/>
        <v>1508</v>
      </c>
      <c r="F47" s="20">
        <f t="shared" si="4"/>
        <v>1615</v>
      </c>
      <c r="G47" s="20">
        <f t="shared" si="4"/>
        <v>1456</v>
      </c>
      <c r="H47" s="20">
        <f t="shared" si="4"/>
        <v>1459</v>
      </c>
      <c r="I47" s="20">
        <f t="shared" si="4"/>
        <v>1257</v>
      </c>
      <c r="J47" s="20">
        <f t="shared" si="4"/>
        <v>1420</v>
      </c>
      <c r="K47" s="20">
        <f t="shared" si="4"/>
        <v>1355</v>
      </c>
      <c r="L47" s="20">
        <f t="shared" si="4"/>
        <v>1575</v>
      </c>
      <c r="M47" s="20">
        <f t="shared" si="4"/>
        <v>1567</v>
      </c>
      <c r="N47" s="20">
        <f t="shared" si="4"/>
        <v>1488</v>
      </c>
      <c r="O47" s="20">
        <f t="shared" si="4"/>
        <v>17113</v>
      </c>
    </row>
    <row r="48" spans="2:15" ht="12.7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2:15" ht="14.25">
      <c r="B49" s="53" t="s">
        <v>46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2:15" ht="14.25">
      <c r="B50" s="53" t="s">
        <v>81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14"/>
      <c r="N50" s="14"/>
      <c r="O50" s="14"/>
    </row>
    <row r="51" spans="2:15" ht="14.25">
      <c r="B51" s="14" t="s">
        <v>23</v>
      </c>
      <c r="C51" s="14"/>
      <c r="D51" s="14"/>
      <c r="E51" s="14"/>
      <c r="F51" s="54" t="s">
        <v>24</v>
      </c>
      <c r="G51" s="54"/>
      <c r="H51" s="54"/>
      <c r="I51" s="14"/>
      <c r="J51" s="14"/>
      <c r="K51" s="14"/>
      <c r="L51" s="14"/>
      <c r="M51" s="14"/>
      <c r="N51" s="14"/>
      <c r="O51" s="14"/>
    </row>
    <row r="52" spans="2:15" ht="12.75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2:15" ht="63.75">
      <c r="B53" s="15" t="s">
        <v>77</v>
      </c>
      <c r="C53" s="24" t="s">
        <v>16</v>
      </c>
      <c r="D53" s="24" t="s">
        <v>17</v>
      </c>
      <c r="E53" s="24" t="s">
        <v>18</v>
      </c>
      <c r="F53" s="24" t="s">
        <v>21</v>
      </c>
      <c r="G53" s="24" t="s">
        <v>25</v>
      </c>
      <c r="H53" s="24" t="s">
        <v>26</v>
      </c>
      <c r="I53" s="24" t="s">
        <v>27</v>
      </c>
      <c r="J53" s="24" t="s">
        <v>28</v>
      </c>
      <c r="K53" s="24" t="s">
        <v>29</v>
      </c>
      <c r="L53" s="24" t="s">
        <v>30</v>
      </c>
      <c r="M53" s="24" t="s">
        <v>31</v>
      </c>
      <c r="N53" s="24" t="s">
        <v>32</v>
      </c>
      <c r="O53" s="24" t="s">
        <v>85</v>
      </c>
    </row>
    <row r="54" spans="2:15" ht="22.5">
      <c r="B54" s="19" t="s">
        <v>1</v>
      </c>
      <c r="C54" s="21">
        <v>36956</v>
      </c>
      <c r="D54" s="21">
        <v>132611</v>
      </c>
      <c r="E54" s="21">
        <v>123645</v>
      </c>
      <c r="F54" s="21">
        <v>114357</v>
      </c>
      <c r="G54" s="21">
        <v>60066</v>
      </c>
      <c r="H54" s="21">
        <v>109339</v>
      </c>
      <c r="I54" s="21">
        <v>74749</v>
      </c>
      <c r="J54" s="21">
        <v>80048</v>
      </c>
      <c r="K54" s="21">
        <v>79751</v>
      </c>
      <c r="L54" s="21">
        <v>44935</v>
      </c>
      <c r="M54" s="21">
        <v>112342</v>
      </c>
      <c r="N54" s="21">
        <v>163757</v>
      </c>
      <c r="O54" s="22">
        <f aca="true" t="shared" si="5" ref="O54:O62">SUM(C54:N54)</f>
        <v>1132556</v>
      </c>
    </row>
    <row r="55" spans="2:15" ht="22.5">
      <c r="B55" s="19" t="s">
        <v>10</v>
      </c>
      <c r="C55" s="21">
        <v>92310</v>
      </c>
      <c r="D55" s="21">
        <v>103550</v>
      </c>
      <c r="E55" s="21">
        <v>129757</v>
      </c>
      <c r="F55" s="21">
        <v>115290</v>
      </c>
      <c r="G55" s="21">
        <v>145770</v>
      </c>
      <c r="H55" s="21">
        <v>169790</v>
      </c>
      <c r="I55" s="21">
        <v>126163</v>
      </c>
      <c r="J55" s="21">
        <v>141907</v>
      </c>
      <c r="K55" s="21">
        <v>224524</v>
      </c>
      <c r="L55" s="21">
        <v>119245</v>
      </c>
      <c r="M55" s="21">
        <v>162486</v>
      </c>
      <c r="N55" s="21">
        <v>131586</v>
      </c>
      <c r="O55" s="22">
        <f t="shared" si="5"/>
        <v>1662378</v>
      </c>
    </row>
    <row r="56" spans="2:15" ht="22.5">
      <c r="B56" s="19" t="s">
        <v>11</v>
      </c>
      <c r="C56" s="21">
        <v>57765</v>
      </c>
      <c r="D56" s="21">
        <v>78737</v>
      </c>
      <c r="E56" s="21">
        <v>74372</v>
      </c>
      <c r="F56" s="21">
        <v>61645</v>
      </c>
      <c r="G56" s="21">
        <v>50818</v>
      </c>
      <c r="H56" s="21">
        <v>62156</v>
      </c>
      <c r="I56" s="21">
        <v>51854</v>
      </c>
      <c r="J56" s="21">
        <v>62886</v>
      </c>
      <c r="K56" s="21">
        <v>51598</v>
      </c>
      <c r="L56" s="21">
        <v>57603</v>
      </c>
      <c r="M56" s="21">
        <v>82408</v>
      </c>
      <c r="N56" s="21">
        <v>73023</v>
      </c>
      <c r="O56" s="22">
        <f t="shared" si="5"/>
        <v>764865</v>
      </c>
    </row>
    <row r="57" spans="2:15" ht="22.5">
      <c r="B57" s="19" t="s">
        <v>12</v>
      </c>
      <c r="C57" s="21">
        <v>95688</v>
      </c>
      <c r="D57" s="21">
        <v>101805</v>
      </c>
      <c r="E57" s="21">
        <v>90991</v>
      </c>
      <c r="F57" s="21">
        <v>131729</v>
      </c>
      <c r="G57" s="21">
        <v>114608</v>
      </c>
      <c r="H57" s="21">
        <v>136974</v>
      </c>
      <c r="I57" s="21">
        <v>80843</v>
      </c>
      <c r="J57" s="21">
        <v>82481</v>
      </c>
      <c r="K57" s="21">
        <v>107445</v>
      </c>
      <c r="L57" s="21">
        <v>105407</v>
      </c>
      <c r="M57" s="21">
        <v>120243</v>
      </c>
      <c r="N57" s="21">
        <v>120187</v>
      </c>
      <c r="O57" s="22">
        <f t="shared" si="5"/>
        <v>1288401</v>
      </c>
    </row>
    <row r="58" spans="2:15" ht="22.5">
      <c r="B58" s="19" t="s">
        <v>5</v>
      </c>
      <c r="C58" s="21">
        <v>13408</v>
      </c>
      <c r="D58" s="21">
        <v>36227</v>
      </c>
      <c r="E58" s="21">
        <v>18077</v>
      </c>
      <c r="F58" s="21">
        <v>23803</v>
      </c>
      <c r="G58" s="21">
        <v>21595</v>
      </c>
      <c r="H58" s="21">
        <v>19300</v>
      </c>
      <c r="I58" s="21">
        <v>22871</v>
      </c>
      <c r="J58" s="21">
        <v>20733</v>
      </c>
      <c r="K58" s="21">
        <v>13667</v>
      </c>
      <c r="L58" s="21">
        <v>14582</v>
      </c>
      <c r="M58" s="39">
        <v>25943</v>
      </c>
      <c r="N58" s="21">
        <v>19889</v>
      </c>
      <c r="O58" s="22">
        <f t="shared" si="5"/>
        <v>250095</v>
      </c>
    </row>
    <row r="59" spans="2:15" ht="22.5">
      <c r="B59" s="19" t="s">
        <v>6</v>
      </c>
      <c r="C59" s="21">
        <v>11772</v>
      </c>
      <c r="D59" s="21">
        <v>391959</v>
      </c>
      <c r="E59" s="21">
        <v>11200</v>
      </c>
      <c r="F59" s="21">
        <v>29177</v>
      </c>
      <c r="G59" s="21">
        <v>22763</v>
      </c>
      <c r="H59" s="21">
        <v>19683</v>
      </c>
      <c r="I59" s="21">
        <v>31014</v>
      </c>
      <c r="J59" s="21">
        <v>11548</v>
      </c>
      <c r="K59" s="21">
        <v>17542</v>
      </c>
      <c r="L59" s="21">
        <v>9950</v>
      </c>
      <c r="M59" s="21">
        <v>15592</v>
      </c>
      <c r="N59" s="21">
        <v>27361</v>
      </c>
      <c r="O59" s="22">
        <f t="shared" si="5"/>
        <v>599561</v>
      </c>
    </row>
    <row r="60" spans="2:15" ht="22.5">
      <c r="B60" s="19" t="s">
        <v>13</v>
      </c>
      <c r="C60" s="21">
        <v>21214</v>
      </c>
      <c r="D60" s="21">
        <v>124566</v>
      </c>
      <c r="E60" s="21">
        <v>31956</v>
      </c>
      <c r="F60" s="21">
        <v>25776</v>
      </c>
      <c r="G60" s="21">
        <v>23663</v>
      </c>
      <c r="H60" s="21">
        <v>129550</v>
      </c>
      <c r="I60" s="21">
        <v>17836</v>
      </c>
      <c r="J60" s="21">
        <v>27320</v>
      </c>
      <c r="K60" s="21">
        <v>14707</v>
      </c>
      <c r="L60" s="21">
        <v>25098</v>
      </c>
      <c r="M60" s="21">
        <v>41857</v>
      </c>
      <c r="N60" s="21">
        <v>18892</v>
      </c>
      <c r="O60" s="22">
        <f t="shared" si="5"/>
        <v>502435</v>
      </c>
    </row>
    <row r="61" spans="2:15" ht="22.5">
      <c r="B61" s="19" t="s">
        <v>15</v>
      </c>
      <c r="C61" s="21">
        <v>46041</v>
      </c>
      <c r="D61" s="21">
        <v>70603</v>
      </c>
      <c r="E61" s="21">
        <v>51662</v>
      </c>
      <c r="F61" s="21">
        <v>32666</v>
      </c>
      <c r="G61" s="21">
        <v>47218</v>
      </c>
      <c r="H61" s="21">
        <v>56451</v>
      </c>
      <c r="I61" s="21">
        <v>23596</v>
      </c>
      <c r="J61" s="21">
        <v>219689</v>
      </c>
      <c r="K61" s="21">
        <v>44600</v>
      </c>
      <c r="L61" s="21">
        <v>23549</v>
      </c>
      <c r="M61" s="21">
        <v>28678</v>
      </c>
      <c r="N61" s="21">
        <v>63976</v>
      </c>
      <c r="O61" s="22">
        <f t="shared" si="5"/>
        <v>708729</v>
      </c>
    </row>
    <row r="62" spans="2:15" ht="22.5">
      <c r="B62" s="19" t="s">
        <v>14</v>
      </c>
      <c r="C62" s="21">
        <v>11038</v>
      </c>
      <c r="D62" s="21">
        <v>17978</v>
      </c>
      <c r="E62" s="21">
        <v>15495</v>
      </c>
      <c r="F62" s="21">
        <v>12966</v>
      </c>
      <c r="G62" s="21">
        <v>12965</v>
      </c>
      <c r="H62" s="21">
        <v>21818</v>
      </c>
      <c r="I62" s="21">
        <v>17285</v>
      </c>
      <c r="J62" s="21">
        <v>15335</v>
      </c>
      <c r="K62" s="21">
        <v>11750</v>
      </c>
      <c r="L62" s="21">
        <v>14759</v>
      </c>
      <c r="M62" s="21">
        <v>14853</v>
      </c>
      <c r="N62" s="21">
        <v>22903</v>
      </c>
      <c r="O62" s="22">
        <f t="shared" si="5"/>
        <v>189145</v>
      </c>
    </row>
    <row r="63" spans="2:15" ht="22.5">
      <c r="B63" s="19" t="s">
        <v>22</v>
      </c>
      <c r="C63" s="20">
        <f>SUM(C54:C62)</f>
        <v>386192</v>
      </c>
      <c r="D63" s="20">
        <f aca="true" t="shared" si="6" ref="D63:O63">SUM(D54:D62)</f>
        <v>1058036</v>
      </c>
      <c r="E63" s="20">
        <f t="shared" si="6"/>
        <v>547155</v>
      </c>
      <c r="F63" s="20">
        <f t="shared" si="6"/>
        <v>547409</v>
      </c>
      <c r="G63" s="20">
        <f t="shared" si="6"/>
        <v>499466</v>
      </c>
      <c r="H63" s="20">
        <f t="shared" si="6"/>
        <v>725061</v>
      </c>
      <c r="I63" s="20">
        <f t="shared" si="6"/>
        <v>446211</v>
      </c>
      <c r="J63" s="20">
        <f>SUM(J54:J62)</f>
        <v>661947</v>
      </c>
      <c r="K63" s="20">
        <f t="shared" si="6"/>
        <v>565584</v>
      </c>
      <c r="L63" s="20">
        <f t="shared" si="6"/>
        <v>415128</v>
      </c>
      <c r="M63" s="20">
        <f t="shared" si="6"/>
        <v>604402</v>
      </c>
      <c r="N63" s="20">
        <f t="shared" si="6"/>
        <v>641574</v>
      </c>
      <c r="O63" s="20">
        <f t="shared" si="6"/>
        <v>7098165</v>
      </c>
    </row>
    <row r="65" spans="1:16" s="9" customFormat="1" ht="30" customHeight="1">
      <c r="A65" s="55" t="s">
        <v>82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82" ht="12.75">
      <c r="L82" t="s">
        <v>60</v>
      </c>
    </row>
  </sheetData>
  <sheetProtection/>
  <mergeCells count="11">
    <mergeCell ref="B18:M18"/>
    <mergeCell ref="B35:M35"/>
    <mergeCell ref="B50:L50"/>
    <mergeCell ref="F51:H51"/>
    <mergeCell ref="A65:P65"/>
    <mergeCell ref="B2:O2"/>
    <mergeCell ref="B17:O17"/>
    <mergeCell ref="F19:H19"/>
    <mergeCell ref="B34:O34"/>
    <mergeCell ref="B49:O49"/>
    <mergeCell ref="B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rightToLeft="1" workbookViewId="0" topLeftCell="A38">
      <selection activeCell="N64" sqref="N64"/>
    </sheetView>
  </sheetViews>
  <sheetFormatPr defaultColWidth="9.140625" defaultRowHeight="12.75"/>
  <cols>
    <col min="1" max="1" width="3.421875" style="0" customWidth="1"/>
    <col min="2" max="2" width="22.140625" style="0" customWidth="1"/>
    <col min="11" max="11" width="12.421875" style="0" customWidth="1"/>
  </cols>
  <sheetData>
    <row r="1" spans="1:2" s="4" customFormat="1" ht="9.75" customHeight="1">
      <c r="A1" s="6"/>
      <c r="B1" s="8"/>
    </row>
    <row r="2" spans="1:15" s="1" customFormat="1" ht="15" customHeight="1">
      <c r="A2" s="3"/>
      <c r="B2" s="53" t="s">
        <v>47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" customFormat="1" ht="15" customHeight="1">
      <c r="A3" s="3"/>
      <c r="B3" s="53" t="s">
        <v>73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4"/>
      <c r="O3" s="14"/>
    </row>
    <row r="4" spans="1:15" s="1" customFormat="1" ht="15" customHeight="1">
      <c r="A4" s="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1" customFormat="1" ht="74.25" customHeight="1">
      <c r="A5" s="3"/>
      <c r="B5" s="15" t="s">
        <v>77</v>
      </c>
      <c r="C5" s="24" t="s">
        <v>16</v>
      </c>
      <c r="D5" s="24" t="s">
        <v>17</v>
      </c>
      <c r="E5" s="24" t="s">
        <v>18</v>
      </c>
      <c r="F5" s="24" t="s">
        <v>21</v>
      </c>
      <c r="G5" s="24" t="s">
        <v>25</v>
      </c>
      <c r="H5" s="24" t="s">
        <v>26</v>
      </c>
      <c r="I5" s="24" t="s">
        <v>27</v>
      </c>
      <c r="J5" s="24" t="s">
        <v>28</v>
      </c>
      <c r="K5" s="24" t="s">
        <v>29</v>
      </c>
      <c r="L5" s="24" t="s">
        <v>30</v>
      </c>
      <c r="M5" s="24" t="s">
        <v>31</v>
      </c>
      <c r="N5" s="24" t="s">
        <v>32</v>
      </c>
      <c r="O5" s="24" t="s">
        <v>85</v>
      </c>
    </row>
    <row r="6" spans="1:15" s="7" customFormat="1" ht="22.5">
      <c r="A6"/>
      <c r="B6" s="19" t="s">
        <v>1</v>
      </c>
      <c r="C6" s="27">
        <v>21</v>
      </c>
      <c r="D6" s="27">
        <v>35</v>
      </c>
      <c r="E6" s="27">
        <v>51</v>
      </c>
      <c r="F6" s="27">
        <v>28</v>
      </c>
      <c r="G6" s="27">
        <v>44</v>
      </c>
      <c r="H6" s="27">
        <v>33</v>
      </c>
      <c r="I6" s="27">
        <v>34</v>
      </c>
      <c r="J6" s="27">
        <v>41</v>
      </c>
      <c r="K6" s="27">
        <v>39</v>
      </c>
      <c r="L6" s="27">
        <v>37</v>
      </c>
      <c r="M6" s="27">
        <v>37</v>
      </c>
      <c r="N6" s="27">
        <v>41</v>
      </c>
      <c r="O6" s="28">
        <f aca="true" t="shared" si="0" ref="O6:O14">SUM(C6:N6)</f>
        <v>441</v>
      </c>
    </row>
    <row r="7" spans="1:15" s="5" customFormat="1" ht="22.5">
      <c r="A7"/>
      <c r="B7" s="19" t="s">
        <v>2</v>
      </c>
      <c r="C7" s="27">
        <v>77</v>
      </c>
      <c r="D7" s="27">
        <v>96</v>
      </c>
      <c r="E7" s="27">
        <v>85</v>
      </c>
      <c r="F7" s="27">
        <v>96</v>
      </c>
      <c r="G7" s="27">
        <v>85</v>
      </c>
      <c r="H7" s="27">
        <v>83</v>
      </c>
      <c r="I7" s="27">
        <v>76</v>
      </c>
      <c r="J7" s="27">
        <v>95</v>
      </c>
      <c r="K7" s="27">
        <v>69</v>
      </c>
      <c r="L7" s="27">
        <v>90</v>
      </c>
      <c r="M7" s="27">
        <v>98</v>
      </c>
      <c r="N7" s="27">
        <v>100</v>
      </c>
      <c r="O7" s="28">
        <f t="shared" si="0"/>
        <v>1050</v>
      </c>
    </row>
    <row r="8" spans="1:15" s="5" customFormat="1" ht="22.5">
      <c r="A8"/>
      <c r="B8" s="19" t="s">
        <v>3</v>
      </c>
      <c r="C8" s="27">
        <v>42</v>
      </c>
      <c r="D8" s="27">
        <v>33</v>
      </c>
      <c r="E8" s="27">
        <v>35</v>
      </c>
      <c r="F8" s="27">
        <v>42</v>
      </c>
      <c r="G8" s="27">
        <v>35</v>
      </c>
      <c r="H8" s="27">
        <v>52</v>
      </c>
      <c r="I8" s="27">
        <v>39</v>
      </c>
      <c r="J8" s="27">
        <v>44</v>
      </c>
      <c r="K8" s="27">
        <v>28</v>
      </c>
      <c r="L8" s="27">
        <v>54</v>
      </c>
      <c r="M8" s="27">
        <v>36</v>
      </c>
      <c r="N8" s="27">
        <v>50</v>
      </c>
      <c r="O8" s="28">
        <f t="shared" si="0"/>
        <v>490</v>
      </c>
    </row>
    <row r="9" spans="1:15" s="5" customFormat="1" ht="22.5">
      <c r="A9"/>
      <c r="B9" s="19" t="s">
        <v>4</v>
      </c>
      <c r="C9" s="27">
        <v>60</v>
      </c>
      <c r="D9" s="27">
        <v>67</v>
      </c>
      <c r="E9" s="27">
        <v>50</v>
      </c>
      <c r="F9" s="27">
        <v>54</v>
      </c>
      <c r="G9" s="27">
        <v>51</v>
      </c>
      <c r="H9" s="27">
        <v>60</v>
      </c>
      <c r="I9" s="27">
        <v>47</v>
      </c>
      <c r="J9" s="27">
        <v>51</v>
      </c>
      <c r="K9" s="27">
        <v>38</v>
      </c>
      <c r="L9" s="27">
        <v>48</v>
      </c>
      <c r="M9" s="27">
        <v>60</v>
      </c>
      <c r="N9" s="27">
        <v>66</v>
      </c>
      <c r="O9" s="28">
        <f t="shared" si="0"/>
        <v>652</v>
      </c>
    </row>
    <row r="10" spans="1:15" s="5" customFormat="1" ht="22.5">
      <c r="A10"/>
      <c r="B10" s="19" t="s">
        <v>5</v>
      </c>
      <c r="C10" s="27">
        <v>10</v>
      </c>
      <c r="D10" s="27">
        <v>7</v>
      </c>
      <c r="E10" s="27">
        <v>18</v>
      </c>
      <c r="F10" s="27">
        <v>9</v>
      </c>
      <c r="G10" s="27">
        <v>17</v>
      </c>
      <c r="H10" s="27">
        <v>9</v>
      </c>
      <c r="I10" s="27">
        <v>11</v>
      </c>
      <c r="J10" s="27">
        <v>26</v>
      </c>
      <c r="K10" s="27">
        <v>21</v>
      </c>
      <c r="L10" s="27">
        <v>12</v>
      </c>
      <c r="M10" s="27">
        <v>16</v>
      </c>
      <c r="N10" s="27">
        <v>16</v>
      </c>
      <c r="O10" s="28">
        <f t="shared" si="0"/>
        <v>172</v>
      </c>
    </row>
    <row r="11" spans="1:15" s="5" customFormat="1" ht="22.5">
      <c r="A11"/>
      <c r="B11" s="19" t="s">
        <v>6</v>
      </c>
      <c r="C11" s="27">
        <v>13</v>
      </c>
      <c r="D11" s="27">
        <v>19</v>
      </c>
      <c r="E11" s="27">
        <v>5</v>
      </c>
      <c r="F11" s="27">
        <v>12</v>
      </c>
      <c r="G11" s="27">
        <v>17</v>
      </c>
      <c r="H11" s="27">
        <v>14</v>
      </c>
      <c r="I11" s="27">
        <v>17</v>
      </c>
      <c r="J11" s="27">
        <v>14</v>
      </c>
      <c r="K11" s="27">
        <v>16</v>
      </c>
      <c r="L11" s="27">
        <v>15</v>
      </c>
      <c r="M11" s="27">
        <v>17</v>
      </c>
      <c r="N11" s="27">
        <v>18</v>
      </c>
      <c r="O11" s="28">
        <f t="shared" si="0"/>
        <v>177</v>
      </c>
    </row>
    <row r="12" spans="1:15" s="5" customFormat="1" ht="22.5">
      <c r="A12"/>
      <c r="B12" s="19" t="s">
        <v>7</v>
      </c>
      <c r="C12" s="27">
        <v>22</v>
      </c>
      <c r="D12" s="27">
        <v>22</v>
      </c>
      <c r="E12" s="27">
        <v>22</v>
      </c>
      <c r="F12" s="27">
        <v>21</v>
      </c>
      <c r="G12" s="27">
        <v>17</v>
      </c>
      <c r="H12" s="27">
        <v>17</v>
      </c>
      <c r="I12" s="27">
        <v>18</v>
      </c>
      <c r="J12" s="27">
        <v>21</v>
      </c>
      <c r="K12" s="27">
        <v>20</v>
      </c>
      <c r="L12" s="27">
        <v>22</v>
      </c>
      <c r="M12" s="27">
        <v>33</v>
      </c>
      <c r="N12" s="27">
        <v>24</v>
      </c>
      <c r="O12" s="28">
        <f t="shared" si="0"/>
        <v>259</v>
      </c>
    </row>
    <row r="13" spans="1:15" s="5" customFormat="1" ht="22.5">
      <c r="A13"/>
      <c r="B13" s="19" t="s">
        <v>8</v>
      </c>
      <c r="C13" s="27">
        <v>8</v>
      </c>
      <c r="D13" s="27">
        <v>11</v>
      </c>
      <c r="E13" s="27">
        <v>16</v>
      </c>
      <c r="F13" s="27">
        <v>14</v>
      </c>
      <c r="G13" s="27">
        <v>14</v>
      </c>
      <c r="H13" s="27">
        <v>17</v>
      </c>
      <c r="I13" s="27">
        <v>5</v>
      </c>
      <c r="J13" s="27">
        <v>12</v>
      </c>
      <c r="K13" s="27">
        <v>17</v>
      </c>
      <c r="L13" s="27">
        <v>18</v>
      </c>
      <c r="M13" s="27">
        <v>23</v>
      </c>
      <c r="N13" s="27">
        <v>22</v>
      </c>
      <c r="O13" s="28">
        <f t="shared" si="0"/>
        <v>177</v>
      </c>
    </row>
    <row r="14" spans="1:15" s="5" customFormat="1" ht="22.5">
      <c r="A14"/>
      <c r="B14" s="19" t="s">
        <v>9</v>
      </c>
      <c r="C14" s="27">
        <v>6</v>
      </c>
      <c r="D14" s="27">
        <v>7</v>
      </c>
      <c r="E14" s="27">
        <v>11</v>
      </c>
      <c r="F14" s="27">
        <v>8</v>
      </c>
      <c r="G14" s="27">
        <v>13</v>
      </c>
      <c r="H14" s="27">
        <v>10</v>
      </c>
      <c r="I14" s="27">
        <v>4</v>
      </c>
      <c r="J14" s="27">
        <v>3</v>
      </c>
      <c r="K14" s="27">
        <v>7</v>
      </c>
      <c r="L14" s="27">
        <v>12</v>
      </c>
      <c r="M14" s="27">
        <v>11</v>
      </c>
      <c r="N14" s="27">
        <v>10</v>
      </c>
      <c r="O14" s="28">
        <f t="shared" si="0"/>
        <v>102</v>
      </c>
    </row>
    <row r="15" spans="1:15" s="5" customFormat="1" ht="22.5">
      <c r="A15"/>
      <c r="B15" s="19" t="s">
        <v>22</v>
      </c>
      <c r="C15" s="25">
        <f aca="true" t="shared" si="1" ref="C15:O15">SUM(C6:C14)</f>
        <v>259</v>
      </c>
      <c r="D15" s="25">
        <f t="shared" si="1"/>
        <v>297</v>
      </c>
      <c r="E15" s="25">
        <f t="shared" si="1"/>
        <v>293</v>
      </c>
      <c r="F15" s="25">
        <f t="shared" si="1"/>
        <v>284</v>
      </c>
      <c r="G15" s="25">
        <f t="shared" si="1"/>
        <v>293</v>
      </c>
      <c r="H15" s="25">
        <f t="shared" si="1"/>
        <v>295</v>
      </c>
      <c r="I15" s="25">
        <f t="shared" si="1"/>
        <v>251</v>
      </c>
      <c r="J15" s="25">
        <f t="shared" si="1"/>
        <v>307</v>
      </c>
      <c r="K15" s="25">
        <f t="shared" si="1"/>
        <v>255</v>
      </c>
      <c r="L15" s="25">
        <f t="shared" si="1"/>
        <v>308</v>
      </c>
      <c r="M15" s="25">
        <f t="shared" si="1"/>
        <v>331</v>
      </c>
      <c r="N15" s="25">
        <f t="shared" si="1"/>
        <v>347</v>
      </c>
      <c r="O15" s="25">
        <f t="shared" si="1"/>
        <v>3520</v>
      </c>
    </row>
    <row r="16" spans="1:15" s="2" customFormat="1" ht="12.75">
      <c r="A16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2" customFormat="1" ht="14.25">
      <c r="A17"/>
      <c r="B17" s="53" t="s">
        <v>48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s="2" customFormat="1" ht="14.25">
      <c r="A18"/>
      <c r="B18" s="53" t="s">
        <v>74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14"/>
      <c r="O18" s="14"/>
    </row>
    <row r="19" spans="1:15" s="2" customFormat="1" ht="14.25">
      <c r="A19"/>
      <c r="B19" s="14" t="s">
        <v>23</v>
      </c>
      <c r="C19" s="14"/>
      <c r="D19" s="14"/>
      <c r="E19" s="14"/>
      <c r="F19" s="54" t="s">
        <v>24</v>
      </c>
      <c r="G19" s="54"/>
      <c r="H19" s="54"/>
      <c r="I19" s="14"/>
      <c r="J19" s="14"/>
      <c r="K19" s="14"/>
      <c r="L19" s="14"/>
      <c r="M19" s="14"/>
      <c r="N19" s="14"/>
      <c r="O19" s="14"/>
    </row>
    <row r="20" spans="1:15" s="2" customFormat="1" ht="12.75">
      <c r="A20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5" customFormat="1" ht="63.75">
      <c r="A21"/>
      <c r="B21" s="15" t="s">
        <v>77</v>
      </c>
      <c r="C21" s="24" t="s">
        <v>16</v>
      </c>
      <c r="D21" s="24" t="s">
        <v>17</v>
      </c>
      <c r="E21" s="24" t="s">
        <v>18</v>
      </c>
      <c r="F21" s="24" t="s">
        <v>21</v>
      </c>
      <c r="G21" s="24" t="s">
        <v>25</v>
      </c>
      <c r="H21" s="24" t="s">
        <v>26</v>
      </c>
      <c r="I21" s="24" t="s">
        <v>27</v>
      </c>
      <c r="J21" s="24" t="s">
        <v>28</v>
      </c>
      <c r="K21" s="24" t="s">
        <v>29</v>
      </c>
      <c r="L21" s="24" t="s">
        <v>30</v>
      </c>
      <c r="M21" s="24" t="s">
        <v>31</v>
      </c>
      <c r="N21" s="24" t="s">
        <v>32</v>
      </c>
      <c r="O21" s="24" t="s">
        <v>85</v>
      </c>
    </row>
    <row r="22" spans="1:15" s="5" customFormat="1" ht="22.5">
      <c r="A22"/>
      <c r="B22" s="19" t="s">
        <v>1</v>
      </c>
      <c r="C22" s="27">
        <v>12916</v>
      </c>
      <c r="D22" s="27">
        <v>46470</v>
      </c>
      <c r="E22" s="27">
        <v>55030</v>
      </c>
      <c r="F22" s="21">
        <v>63315</v>
      </c>
      <c r="G22" s="27">
        <v>22582</v>
      </c>
      <c r="H22" s="27">
        <v>27187</v>
      </c>
      <c r="I22" s="27">
        <v>25665</v>
      </c>
      <c r="J22" s="27">
        <v>17591</v>
      </c>
      <c r="K22" s="27">
        <v>22073</v>
      </c>
      <c r="L22" s="27">
        <v>186324</v>
      </c>
      <c r="M22" s="27">
        <v>27920</v>
      </c>
      <c r="N22" s="27">
        <v>88249</v>
      </c>
      <c r="O22" s="28">
        <f aca="true" t="shared" si="2" ref="O22:O30">SUM(C22:N22)</f>
        <v>595322</v>
      </c>
    </row>
    <row r="23" spans="1:15" s="5" customFormat="1" ht="22.5">
      <c r="A23"/>
      <c r="B23" s="19" t="s">
        <v>10</v>
      </c>
      <c r="C23" s="27">
        <v>18023</v>
      </c>
      <c r="D23" s="27">
        <v>19107</v>
      </c>
      <c r="E23" s="27">
        <v>15389</v>
      </c>
      <c r="F23" s="21">
        <v>223027</v>
      </c>
      <c r="G23" s="27">
        <v>32282</v>
      </c>
      <c r="H23" s="27">
        <v>17167</v>
      </c>
      <c r="I23" s="27">
        <v>16812</v>
      </c>
      <c r="J23" s="27">
        <v>20039</v>
      </c>
      <c r="K23" s="27">
        <v>16276</v>
      </c>
      <c r="L23" s="27">
        <v>29327</v>
      </c>
      <c r="M23" s="27">
        <v>26401</v>
      </c>
      <c r="N23" s="27">
        <v>72362</v>
      </c>
      <c r="O23" s="28">
        <f t="shared" si="2"/>
        <v>506212</v>
      </c>
    </row>
    <row r="24" spans="1:15" s="5" customFormat="1" ht="22.5">
      <c r="A24"/>
      <c r="B24" s="19" t="s">
        <v>11</v>
      </c>
      <c r="C24" s="27">
        <v>38201</v>
      </c>
      <c r="D24" s="27">
        <v>18001</v>
      </c>
      <c r="E24" s="27">
        <v>69091</v>
      </c>
      <c r="F24" s="21">
        <v>39891</v>
      </c>
      <c r="G24" s="27">
        <v>87283</v>
      </c>
      <c r="H24" s="27">
        <v>50513</v>
      </c>
      <c r="I24" s="27">
        <v>123178</v>
      </c>
      <c r="J24" s="27">
        <v>97781</v>
      </c>
      <c r="K24" s="27">
        <v>9473</v>
      </c>
      <c r="L24" s="27">
        <v>17469</v>
      </c>
      <c r="M24" s="27">
        <v>5685</v>
      </c>
      <c r="N24" s="27">
        <v>8587</v>
      </c>
      <c r="O24" s="28">
        <f t="shared" si="2"/>
        <v>565153</v>
      </c>
    </row>
    <row r="25" spans="1:15" s="1" customFormat="1" ht="22.5">
      <c r="A25"/>
      <c r="B25" s="19" t="s">
        <v>12</v>
      </c>
      <c r="C25" s="27">
        <v>22246</v>
      </c>
      <c r="D25" s="27">
        <v>14988</v>
      </c>
      <c r="E25" s="27">
        <v>11706</v>
      </c>
      <c r="F25" s="21">
        <v>14762</v>
      </c>
      <c r="G25" s="27">
        <v>12605</v>
      </c>
      <c r="H25" s="27">
        <v>45232</v>
      </c>
      <c r="I25" s="27">
        <v>8312</v>
      </c>
      <c r="J25" s="27">
        <v>18212</v>
      </c>
      <c r="K25" s="27">
        <v>6518</v>
      </c>
      <c r="L25" s="27">
        <v>50957</v>
      </c>
      <c r="M25" s="27">
        <v>21618</v>
      </c>
      <c r="N25" s="27">
        <v>22123</v>
      </c>
      <c r="O25" s="28">
        <f t="shared" si="2"/>
        <v>249279</v>
      </c>
    </row>
    <row r="26" spans="1:15" s="1" customFormat="1" ht="22.5">
      <c r="A26"/>
      <c r="B26" s="19" t="s">
        <v>5</v>
      </c>
      <c r="C26" s="27">
        <v>1916</v>
      </c>
      <c r="D26" s="27">
        <v>1283</v>
      </c>
      <c r="E26" s="27">
        <v>5539</v>
      </c>
      <c r="F26" s="21">
        <v>1229</v>
      </c>
      <c r="G26" s="27">
        <v>4749</v>
      </c>
      <c r="H26" s="27">
        <v>0.649</v>
      </c>
      <c r="I26" s="27">
        <v>7729</v>
      </c>
      <c r="J26" s="27">
        <v>3527</v>
      </c>
      <c r="K26" s="27">
        <v>22150</v>
      </c>
      <c r="L26" s="27">
        <v>2237</v>
      </c>
      <c r="M26" s="27">
        <v>3688</v>
      </c>
      <c r="N26" s="27">
        <v>2149</v>
      </c>
      <c r="O26" s="28">
        <f t="shared" si="2"/>
        <v>56196.649</v>
      </c>
    </row>
    <row r="27" spans="1:15" s="1" customFormat="1" ht="22.5">
      <c r="A27"/>
      <c r="B27" s="19" t="s">
        <v>6</v>
      </c>
      <c r="C27" s="27">
        <v>1407</v>
      </c>
      <c r="D27" s="27">
        <v>2047</v>
      </c>
      <c r="E27" s="27">
        <v>4805</v>
      </c>
      <c r="F27" s="21">
        <v>2035</v>
      </c>
      <c r="G27" s="27">
        <v>1460</v>
      </c>
      <c r="H27" s="27">
        <v>2520</v>
      </c>
      <c r="I27" s="27">
        <v>1729</v>
      </c>
      <c r="J27" s="27">
        <v>2801</v>
      </c>
      <c r="K27" s="27">
        <v>2003</v>
      </c>
      <c r="L27" s="27">
        <v>3629</v>
      </c>
      <c r="M27" s="27">
        <v>1508</v>
      </c>
      <c r="N27" s="27">
        <v>3647</v>
      </c>
      <c r="O27" s="28">
        <f t="shared" si="2"/>
        <v>29591</v>
      </c>
    </row>
    <row r="28" spans="1:15" s="1" customFormat="1" ht="22.5">
      <c r="A28"/>
      <c r="B28" s="19" t="s">
        <v>13</v>
      </c>
      <c r="C28" s="27">
        <v>11184</v>
      </c>
      <c r="D28" s="27">
        <v>4070</v>
      </c>
      <c r="E28" s="27">
        <v>3535</v>
      </c>
      <c r="F28" s="21">
        <v>3058</v>
      </c>
      <c r="G28" s="27">
        <v>11645</v>
      </c>
      <c r="H28" s="27">
        <v>1883</v>
      </c>
      <c r="I28" s="27">
        <v>3605</v>
      </c>
      <c r="J28" s="27">
        <v>2981</v>
      </c>
      <c r="K28" s="27">
        <v>5978</v>
      </c>
      <c r="L28" s="27">
        <v>5569</v>
      </c>
      <c r="M28" s="27">
        <v>4844</v>
      </c>
      <c r="N28" s="27">
        <v>2022</v>
      </c>
      <c r="O28" s="28">
        <f t="shared" si="2"/>
        <v>60374</v>
      </c>
    </row>
    <row r="29" spans="1:15" s="1" customFormat="1" ht="22.5">
      <c r="A29"/>
      <c r="B29" s="19" t="s">
        <v>15</v>
      </c>
      <c r="C29" s="27">
        <v>2134</v>
      </c>
      <c r="D29" s="27">
        <v>1836</v>
      </c>
      <c r="E29" s="27">
        <v>8976</v>
      </c>
      <c r="F29" s="21">
        <v>13236</v>
      </c>
      <c r="G29" s="27">
        <v>10963</v>
      </c>
      <c r="H29" s="27">
        <v>4075</v>
      </c>
      <c r="I29" s="27">
        <v>6791</v>
      </c>
      <c r="J29" s="27">
        <v>2249</v>
      </c>
      <c r="K29" s="27">
        <v>18653</v>
      </c>
      <c r="L29" s="27">
        <v>6774</v>
      </c>
      <c r="M29" s="27">
        <v>3082</v>
      </c>
      <c r="N29" s="27">
        <v>4012</v>
      </c>
      <c r="O29" s="28">
        <f t="shared" si="2"/>
        <v>82781</v>
      </c>
    </row>
    <row r="30" spans="1:15" s="1" customFormat="1" ht="22.5">
      <c r="A30"/>
      <c r="B30" s="19" t="s">
        <v>14</v>
      </c>
      <c r="C30" s="27">
        <v>1204</v>
      </c>
      <c r="D30" s="27">
        <v>294</v>
      </c>
      <c r="E30" s="27">
        <v>1691</v>
      </c>
      <c r="F30" s="21">
        <v>918120</v>
      </c>
      <c r="G30" s="27">
        <v>22485</v>
      </c>
      <c r="H30" s="27">
        <v>2003</v>
      </c>
      <c r="I30" s="27">
        <v>225</v>
      </c>
      <c r="J30" s="27">
        <v>1515</v>
      </c>
      <c r="K30" s="27">
        <v>672</v>
      </c>
      <c r="L30" s="27">
        <v>949</v>
      </c>
      <c r="M30" s="27">
        <v>1697</v>
      </c>
      <c r="N30" s="27">
        <v>1281</v>
      </c>
      <c r="O30" s="28">
        <f t="shared" si="2"/>
        <v>952136</v>
      </c>
    </row>
    <row r="31" spans="1:15" s="1" customFormat="1" ht="22.5">
      <c r="A31"/>
      <c r="B31" s="19" t="s">
        <v>22</v>
      </c>
      <c r="C31" s="25">
        <f aca="true" t="shared" si="3" ref="C31:O31">SUM(C22:C30)</f>
        <v>109231</v>
      </c>
      <c r="D31" s="25">
        <f t="shared" si="3"/>
        <v>108096</v>
      </c>
      <c r="E31" s="25">
        <f t="shared" si="3"/>
        <v>175762</v>
      </c>
      <c r="F31" s="25">
        <f t="shared" si="3"/>
        <v>1278673</v>
      </c>
      <c r="G31" s="25">
        <f t="shared" si="3"/>
        <v>206054</v>
      </c>
      <c r="H31" s="25">
        <f t="shared" si="3"/>
        <v>150580.649</v>
      </c>
      <c r="I31" s="25">
        <f t="shared" si="3"/>
        <v>194046</v>
      </c>
      <c r="J31" s="25">
        <f t="shared" si="3"/>
        <v>166696</v>
      </c>
      <c r="K31" s="25">
        <f t="shared" si="3"/>
        <v>103796</v>
      </c>
      <c r="L31" s="25">
        <f t="shared" si="3"/>
        <v>303235</v>
      </c>
      <c r="M31" s="25">
        <f t="shared" si="3"/>
        <v>96443</v>
      </c>
      <c r="N31" s="25">
        <f t="shared" si="3"/>
        <v>204432</v>
      </c>
      <c r="O31" s="25">
        <f t="shared" si="3"/>
        <v>3097044.649</v>
      </c>
    </row>
    <row r="33" spans="2:15" ht="12.75"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ht="14.25">
      <c r="B34" s="53" t="s">
        <v>49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2:15" ht="14.25">
      <c r="B35" s="53" t="s">
        <v>75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14"/>
      <c r="N35" s="14"/>
      <c r="O35" s="14"/>
    </row>
    <row r="36" spans="2:15" ht="14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 ht="63.75">
      <c r="B37" s="15" t="s">
        <v>77</v>
      </c>
      <c r="C37" s="24" t="s">
        <v>16</v>
      </c>
      <c r="D37" s="24" t="s">
        <v>17</v>
      </c>
      <c r="E37" s="24" t="s">
        <v>18</v>
      </c>
      <c r="F37" s="24" t="s">
        <v>21</v>
      </c>
      <c r="G37" s="24" t="s">
        <v>25</v>
      </c>
      <c r="H37" s="24" t="s">
        <v>26</v>
      </c>
      <c r="I37" s="24" t="s">
        <v>27</v>
      </c>
      <c r="J37" s="24" t="s">
        <v>28</v>
      </c>
      <c r="K37" s="24" t="s">
        <v>29</v>
      </c>
      <c r="L37" s="24" t="s">
        <v>30</v>
      </c>
      <c r="M37" s="24" t="s">
        <v>31</v>
      </c>
      <c r="N37" s="24" t="s">
        <v>32</v>
      </c>
      <c r="O37" s="24" t="s">
        <v>85</v>
      </c>
    </row>
    <row r="38" spans="2:15" ht="22.5">
      <c r="B38" s="19" t="s">
        <v>1</v>
      </c>
      <c r="C38" s="26">
        <f>0+19+6</f>
        <v>25</v>
      </c>
      <c r="D38" s="26">
        <f>0+32+24</f>
        <v>56</v>
      </c>
      <c r="E38" s="26">
        <f>0+34+16</f>
        <v>50</v>
      </c>
      <c r="F38" s="26">
        <f>0+36+18</f>
        <v>54</v>
      </c>
      <c r="G38" s="26">
        <f>0+33+24</f>
        <v>57</v>
      </c>
      <c r="H38" s="26">
        <f>0+40+20</f>
        <v>60</v>
      </c>
      <c r="I38" s="26">
        <v>29</v>
      </c>
      <c r="J38" s="26">
        <f>1+20+14</f>
        <v>35</v>
      </c>
      <c r="K38" s="26">
        <f>0+29+25</f>
        <v>54</v>
      </c>
      <c r="L38" s="26">
        <f>28+18</f>
        <v>46</v>
      </c>
      <c r="M38" s="26">
        <f>27+16</f>
        <v>43</v>
      </c>
      <c r="N38" s="26">
        <v>48</v>
      </c>
      <c r="O38" s="30">
        <f aca="true" t="shared" si="4" ref="O38:O46">SUM(C38:N38)</f>
        <v>557</v>
      </c>
    </row>
    <row r="39" spans="2:15" ht="22.5">
      <c r="B39" s="19" t="s">
        <v>2</v>
      </c>
      <c r="C39" s="26">
        <f>2+44+27</f>
        <v>73</v>
      </c>
      <c r="D39" s="26">
        <f>0+56+43</f>
        <v>99</v>
      </c>
      <c r="E39" s="26">
        <f>0+54+40</f>
        <v>94</v>
      </c>
      <c r="F39" s="26">
        <f>2+64+42</f>
        <v>108</v>
      </c>
      <c r="G39" s="26">
        <f>1+43+48</f>
        <v>92</v>
      </c>
      <c r="H39" s="26">
        <f>0+63+44</f>
        <v>107</v>
      </c>
      <c r="I39" s="26">
        <f>25+18</f>
        <v>43</v>
      </c>
      <c r="J39" s="26">
        <f>34+32</f>
        <v>66</v>
      </c>
      <c r="K39" s="26">
        <f>0+45+39</f>
        <v>84</v>
      </c>
      <c r="L39" s="26">
        <f>56+43</f>
        <v>99</v>
      </c>
      <c r="M39" s="26">
        <f>1+57+50</f>
        <v>108</v>
      </c>
      <c r="N39" s="26">
        <f>43+48</f>
        <v>91</v>
      </c>
      <c r="O39" s="30">
        <f t="shared" si="4"/>
        <v>1064</v>
      </c>
    </row>
    <row r="40" spans="2:15" ht="22.5">
      <c r="B40" s="19" t="s">
        <v>3</v>
      </c>
      <c r="C40" s="26">
        <f>0+55+31</f>
        <v>86</v>
      </c>
      <c r="D40" s="26">
        <f>0+48+24</f>
        <v>72</v>
      </c>
      <c r="E40" s="26">
        <f>0+55+26</f>
        <v>81</v>
      </c>
      <c r="F40" s="26">
        <f>1+77+35</f>
        <v>113</v>
      </c>
      <c r="G40" s="26">
        <f>0+46+21</f>
        <v>67</v>
      </c>
      <c r="H40" s="26">
        <f>0+50+25</f>
        <v>75</v>
      </c>
      <c r="I40" s="26">
        <v>71</v>
      </c>
      <c r="J40" s="26">
        <f>1+62+37</f>
        <v>100</v>
      </c>
      <c r="K40" s="26">
        <f>71</f>
        <v>71</v>
      </c>
      <c r="L40" s="26">
        <f>6+51+25</f>
        <v>82</v>
      </c>
      <c r="M40" s="26">
        <f>87+42</f>
        <v>129</v>
      </c>
      <c r="N40" s="26">
        <f>133</f>
        <v>133</v>
      </c>
      <c r="O40" s="30">
        <f t="shared" si="4"/>
        <v>1080</v>
      </c>
    </row>
    <row r="41" spans="2:15" ht="22.5">
      <c r="B41" s="19" t="s">
        <v>4</v>
      </c>
      <c r="C41" s="26">
        <f>1+52+35</f>
        <v>88</v>
      </c>
      <c r="D41" s="26">
        <f>0+65+20</f>
        <v>85</v>
      </c>
      <c r="E41" s="26">
        <f>0+51+28</f>
        <v>79</v>
      </c>
      <c r="F41" s="26">
        <f>0+58+28</f>
        <v>86</v>
      </c>
      <c r="G41" s="26">
        <f>0+62+15</f>
        <v>77</v>
      </c>
      <c r="H41" s="26">
        <f>1+73+39</f>
        <v>113</v>
      </c>
      <c r="I41" s="26">
        <v>82</v>
      </c>
      <c r="J41" s="26">
        <f>0+51+24</f>
        <v>75</v>
      </c>
      <c r="K41" s="26">
        <f>37+27</f>
        <v>64</v>
      </c>
      <c r="L41" s="26">
        <f>69+33</f>
        <v>102</v>
      </c>
      <c r="M41" s="26">
        <f>86</f>
        <v>86</v>
      </c>
      <c r="N41" s="26">
        <f>58+22</f>
        <v>80</v>
      </c>
      <c r="O41" s="30">
        <f t="shared" si="4"/>
        <v>1017</v>
      </c>
    </row>
    <row r="42" spans="2:15" ht="22.5">
      <c r="B42" s="19" t="s">
        <v>5</v>
      </c>
      <c r="C42" s="26">
        <f>0+8+8</f>
        <v>16</v>
      </c>
      <c r="D42" s="26">
        <f>3+10+7</f>
        <v>20</v>
      </c>
      <c r="E42" s="26">
        <f>0+13+11</f>
        <v>24</v>
      </c>
      <c r="F42" s="26">
        <f>0+20+10</f>
        <v>30</v>
      </c>
      <c r="G42" s="26">
        <f>1+28+14</f>
        <v>43</v>
      </c>
      <c r="H42" s="26">
        <f>1+14+12</f>
        <v>27</v>
      </c>
      <c r="I42" s="26">
        <f>1+18+13</f>
        <v>32</v>
      </c>
      <c r="J42" s="26">
        <f>0+14+10</f>
        <v>24</v>
      </c>
      <c r="K42" s="26">
        <f>0+5+8</f>
        <v>13</v>
      </c>
      <c r="L42" s="26">
        <f>33+14</f>
        <v>47</v>
      </c>
      <c r="M42" s="26">
        <f>19+29</f>
        <v>48</v>
      </c>
      <c r="N42" s="26">
        <f>22+18</f>
        <v>40</v>
      </c>
      <c r="O42" s="30">
        <f t="shared" si="4"/>
        <v>364</v>
      </c>
    </row>
    <row r="43" spans="2:15" ht="22.5">
      <c r="B43" s="19" t="s">
        <v>6</v>
      </c>
      <c r="C43" s="26">
        <f>1+16+7</f>
        <v>24</v>
      </c>
      <c r="D43" s="26">
        <f>1+17+6</f>
        <v>24</v>
      </c>
      <c r="E43" s="26">
        <f>0+15+9</f>
        <v>24</v>
      </c>
      <c r="F43" s="26">
        <f>2+20+4</f>
        <v>26</v>
      </c>
      <c r="G43" s="26">
        <f>1+16+13</f>
        <v>30</v>
      </c>
      <c r="H43" s="26">
        <f>0+15+7</f>
        <v>22</v>
      </c>
      <c r="I43" s="26">
        <v>25</v>
      </c>
      <c r="J43" s="26">
        <f>18+4</f>
        <v>22</v>
      </c>
      <c r="K43" s="26">
        <f>2+8+7</f>
        <v>17</v>
      </c>
      <c r="L43" s="27">
        <f>22+13</f>
        <v>35</v>
      </c>
      <c r="M43" s="26">
        <v>24</v>
      </c>
      <c r="N43" s="26">
        <f>21</f>
        <v>21</v>
      </c>
      <c r="O43" s="30">
        <f t="shared" si="4"/>
        <v>294</v>
      </c>
    </row>
    <row r="44" spans="2:15" ht="22.5">
      <c r="B44" s="19" t="s">
        <v>7</v>
      </c>
      <c r="C44" s="26">
        <f>1+19+18</f>
        <v>38</v>
      </c>
      <c r="D44" s="26">
        <f>0+25+22</f>
        <v>47</v>
      </c>
      <c r="E44" s="26">
        <f>0+12+27</f>
        <v>39</v>
      </c>
      <c r="F44" s="26">
        <f>0+48+34</f>
        <v>82</v>
      </c>
      <c r="G44" s="26">
        <f>0+17+20</f>
        <v>37</v>
      </c>
      <c r="H44" s="26">
        <f>0+16+23</f>
        <v>39</v>
      </c>
      <c r="I44" s="26">
        <f>14+23</f>
        <v>37</v>
      </c>
      <c r="J44" s="26">
        <f>0+11+9</f>
        <v>20</v>
      </c>
      <c r="K44" s="26">
        <f>0+12+11</f>
        <v>23</v>
      </c>
      <c r="L44" s="26">
        <v>39</v>
      </c>
      <c r="M44" s="26">
        <f>16+29</f>
        <v>45</v>
      </c>
      <c r="N44" s="26">
        <f>42</f>
        <v>42</v>
      </c>
      <c r="O44" s="30">
        <f t="shared" si="4"/>
        <v>488</v>
      </c>
    </row>
    <row r="45" spans="2:15" ht="22.5">
      <c r="B45" s="19" t="s">
        <v>8</v>
      </c>
      <c r="C45" s="26">
        <f>0+7+8</f>
        <v>15</v>
      </c>
      <c r="D45" s="26">
        <f>0+19+11</f>
        <v>30</v>
      </c>
      <c r="E45" s="26">
        <f>0+7+20</f>
        <v>27</v>
      </c>
      <c r="F45" s="26">
        <f>0+27+35</f>
        <v>62</v>
      </c>
      <c r="G45" s="26">
        <f>0+12+10</f>
        <v>22</v>
      </c>
      <c r="H45" s="26">
        <f>0+12+22</f>
        <v>34</v>
      </c>
      <c r="I45" s="26">
        <v>21</v>
      </c>
      <c r="J45" s="26">
        <f>1+16+9</f>
        <v>26</v>
      </c>
      <c r="K45" s="26">
        <f>0+12+16</f>
        <v>28</v>
      </c>
      <c r="L45" s="26">
        <f>28</f>
        <v>28</v>
      </c>
      <c r="M45" s="26">
        <f>16+26</f>
        <v>42</v>
      </c>
      <c r="N45" s="26">
        <v>33</v>
      </c>
      <c r="O45" s="30">
        <f t="shared" si="4"/>
        <v>368</v>
      </c>
    </row>
    <row r="46" spans="2:15" ht="22.5">
      <c r="B46" s="19" t="s">
        <v>9</v>
      </c>
      <c r="C46" s="26">
        <f>0+10+8</f>
        <v>18</v>
      </c>
      <c r="D46" s="31">
        <f>1+7+6</f>
        <v>14</v>
      </c>
      <c r="E46" s="26">
        <f>0+12+5</f>
        <v>17</v>
      </c>
      <c r="F46" s="26">
        <f>0+13+9</f>
        <v>22</v>
      </c>
      <c r="G46" s="26">
        <f>0+4+8</f>
        <v>12</v>
      </c>
      <c r="H46" s="26">
        <f>0+10+6</f>
        <v>16</v>
      </c>
      <c r="I46" s="26">
        <v>13</v>
      </c>
      <c r="J46" s="26">
        <f>13</f>
        <v>13</v>
      </c>
      <c r="K46" s="26">
        <f>0+1+7</f>
        <v>8</v>
      </c>
      <c r="L46" s="26">
        <v>13</v>
      </c>
      <c r="M46" s="26">
        <f>20</f>
        <v>20</v>
      </c>
      <c r="N46" s="26">
        <v>18</v>
      </c>
      <c r="O46" s="30">
        <f t="shared" si="4"/>
        <v>184</v>
      </c>
    </row>
    <row r="47" spans="2:15" ht="22.5">
      <c r="B47" s="19" t="s">
        <v>22</v>
      </c>
      <c r="C47" s="25">
        <f>SUM(C38:C46)</f>
        <v>383</v>
      </c>
      <c r="D47" s="25">
        <f aca="true" t="shared" si="5" ref="D47:O47">SUM(D38:D46)</f>
        <v>447</v>
      </c>
      <c r="E47" s="25">
        <f t="shared" si="5"/>
        <v>435</v>
      </c>
      <c r="F47" s="25">
        <f t="shared" si="5"/>
        <v>583</v>
      </c>
      <c r="G47" s="25">
        <f t="shared" si="5"/>
        <v>437</v>
      </c>
      <c r="H47" s="25">
        <f t="shared" si="5"/>
        <v>493</v>
      </c>
      <c r="I47" s="25">
        <f t="shared" si="5"/>
        <v>353</v>
      </c>
      <c r="J47" s="25">
        <f t="shared" si="5"/>
        <v>381</v>
      </c>
      <c r="K47" s="25">
        <f t="shared" si="5"/>
        <v>362</v>
      </c>
      <c r="L47" s="25">
        <f t="shared" si="5"/>
        <v>491</v>
      </c>
      <c r="M47" s="25">
        <f t="shared" si="5"/>
        <v>545</v>
      </c>
      <c r="N47" s="25">
        <f t="shared" si="5"/>
        <v>506</v>
      </c>
      <c r="O47" s="25">
        <f t="shared" si="5"/>
        <v>5416</v>
      </c>
    </row>
    <row r="48" spans="2:15" ht="12.7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2:15" ht="14.25">
      <c r="B49" s="53" t="s">
        <v>50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2:15" ht="14.25">
      <c r="B50" s="53" t="s">
        <v>76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14"/>
      <c r="O50" s="14"/>
    </row>
    <row r="51" spans="2:15" ht="14.25">
      <c r="B51" s="14" t="s">
        <v>23</v>
      </c>
      <c r="C51" s="14"/>
      <c r="D51" s="14"/>
      <c r="E51" s="14"/>
      <c r="F51" s="54" t="s">
        <v>24</v>
      </c>
      <c r="G51" s="54"/>
      <c r="H51" s="54"/>
      <c r="I51" s="14"/>
      <c r="J51" s="14"/>
      <c r="K51" s="14"/>
      <c r="L51" s="14"/>
      <c r="M51" s="14"/>
      <c r="N51" s="14"/>
      <c r="O51" s="14"/>
    </row>
    <row r="52" spans="2:15" ht="12.75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2:15" ht="63.75">
      <c r="B53" s="15" t="s">
        <v>77</v>
      </c>
      <c r="C53" s="24" t="s">
        <v>16</v>
      </c>
      <c r="D53" s="24" t="s">
        <v>17</v>
      </c>
      <c r="E53" s="24" t="s">
        <v>18</v>
      </c>
      <c r="F53" s="24" t="s">
        <v>21</v>
      </c>
      <c r="G53" s="24" t="s">
        <v>25</v>
      </c>
      <c r="H53" s="24" t="s">
        <v>26</v>
      </c>
      <c r="I53" s="24" t="s">
        <v>27</v>
      </c>
      <c r="J53" s="24" t="s">
        <v>28</v>
      </c>
      <c r="K53" s="24" t="s">
        <v>29</v>
      </c>
      <c r="L53" s="24" t="s">
        <v>30</v>
      </c>
      <c r="M53" s="24" t="s">
        <v>31</v>
      </c>
      <c r="N53" s="24" t="s">
        <v>32</v>
      </c>
      <c r="O53" s="24" t="s">
        <v>85</v>
      </c>
    </row>
    <row r="54" spans="2:15" ht="22.5">
      <c r="B54" s="19" t="s">
        <v>1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9">
        <f aca="true" t="shared" si="6" ref="O54:O62">SUM(C54:N54)</f>
        <v>0</v>
      </c>
    </row>
    <row r="55" spans="2:15" ht="22.5">
      <c r="B55" s="19" t="s">
        <v>10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9">
        <f t="shared" si="6"/>
        <v>0</v>
      </c>
    </row>
    <row r="56" spans="2:15" ht="22.5">
      <c r="B56" s="19" t="s">
        <v>11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9">
        <f t="shared" si="6"/>
        <v>0</v>
      </c>
    </row>
    <row r="57" spans="2:15" ht="22.5">
      <c r="B57" s="19" t="s">
        <v>12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9">
        <f t="shared" si="6"/>
        <v>0</v>
      </c>
    </row>
    <row r="58" spans="2:15" ht="22.5">
      <c r="B58" s="19" t="s">
        <v>5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9">
        <f t="shared" si="6"/>
        <v>0</v>
      </c>
    </row>
    <row r="59" spans="2:15" ht="22.5">
      <c r="B59" s="19" t="s">
        <v>6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9">
        <f t="shared" si="6"/>
        <v>0</v>
      </c>
    </row>
    <row r="60" spans="2:15" ht="22.5">
      <c r="B60" s="19" t="s">
        <v>13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9">
        <f t="shared" si="6"/>
        <v>0</v>
      </c>
    </row>
    <row r="61" spans="2:15" ht="22.5">
      <c r="B61" s="19" t="s">
        <v>15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9">
        <f t="shared" si="6"/>
        <v>0</v>
      </c>
    </row>
    <row r="62" spans="2:15" ht="22.5">
      <c r="B62" s="19" t="s">
        <v>14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9">
        <f t="shared" si="6"/>
        <v>0</v>
      </c>
    </row>
    <row r="63" spans="2:15" ht="22.5">
      <c r="B63" s="19" t="s">
        <v>22</v>
      </c>
      <c r="C63" s="25">
        <f>SUM(C54:C62)</f>
        <v>0</v>
      </c>
      <c r="D63" s="25">
        <f aca="true" t="shared" si="7" ref="D63:O63">SUM(D54:D62)</f>
        <v>0</v>
      </c>
      <c r="E63" s="25">
        <f t="shared" si="7"/>
        <v>0</v>
      </c>
      <c r="F63" s="25">
        <f t="shared" si="7"/>
        <v>0</v>
      </c>
      <c r="G63" s="25">
        <f t="shared" si="7"/>
        <v>0</v>
      </c>
      <c r="H63" s="25">
        <f t="shared" si="7"/>
        <v>0</v>
      </c>
      <c r="I63" s="25">
        <f t="shared" si="7"/>
        <v>0</v>
      </c>
      <c r="J63" s="25">
        <f t="shared" si="7"/>
        <v>0</v>
      </c>
      <c r="K63" s="25">
        <f t="shared" si="7"/>
        <v>0</v>
      </c>
      <c r="L63" s="25">
        <f t="shared" si="7"/>
        <v>0</v>
      </c>
      <c r="M63" s="25">
        <f t="shared" si="7"/>
        <v>0</v>
      </c>
      <c r="N63" s="25">
        <f t="shared" si="7"/>
        <v>0</v>
      </c>
      <c r="O63" s="25">
        <f t="shared" si="7"/>
        <v>0</v>
      </c>
    </row>
    <row r="65" ht="12.75">
      <c r="B65" t="s">
        <v>83</v>
      </c>
    </row>
    <row r="66" spans="2:6" ht="12.75">
      <c r="B66" s="57" t="s">
        <v>84</v>
      </c>
      <c r="C66" s="57"/>
      <c r="D66" s="57"/>
      <c r="E66" s="57"/>
      <c r="F66" s="57"/>
    </row>
  </sheetData>
  <sheetProtection/>
  <mergeCells count="11">
    <mergeCell ref="B2:O2"/>
    <mergeCell ref="B17:O17"/>
    <mergeCell ref="F19:H19"/>
    <mergeCell ref="B34:O34"/>
    <mergeCell ref="B49:O49"/>
    <mergeCell ref="F51:H51"/>
    <mergeCell ref="B3:M3"/>
    <mergeCell ref="B18:M18"/>
    <mergeCell ref="B66:F66"/>
    <mergeCell ref="B35:L35"/>
    <mergeCell ref="B50:M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rightToLeft="1" zoomScalePageLayoutView="0" workbookViewId="0" topLeftCell="A25">
      <selection activeCell="N55" sqref="N55"/>
    </sheetView>
  </sheetViews>
  <sheetFormatPr defaultColWidth="9.140625" defaultRowHeight="12.75"/>
  <cols>
    <col min="1" max="1" width="3.421875" style="0" customWidth="1"/>
    <col min="2" max="2" width="22.140625" style="0" customWidth="1"/>
    <col min="11" max="11" width="12.421875" style="0" customWidth="1"/>
  </cols>
  <sheetData>
    <row r="1" spans="1:2" s="4" customFormat="1" ht="9.75" customHeight="1">
      <c r="A1" s="6"/>
      <c r="B1" s="8"/>
    </row>
    <row r="2" spans="1:15" s="1" customFormat="1" ht="15" customHeight="1">
      <c r="A2" s="3"/>
      <c r="B2" s="53" t="s">
        <v>51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" customFormat="1" ht="15" customHeight="1">
      <c r="A3" s="3"/>
      <c r="B3" s="53" t="s">
        <v>72</v>
      </c>
      <c r="C3" s="53"/>
      <c r="D3" s="53"/>
      <c r="E3" s="53"/>
      <c r="F3" s="53"/>
      <c r="G3" s="53"/>
      <c r="H3" s="53"/>
      <c r="I3" s="53"/>
      <c r="J3" s="53"/>
      <c r="K3" s="14"/>
      <c r="L3" s="14"/>
      <c r="M3" s="14"/>
      <c r="N3" s="14"/>
      <c r="O3" s="14"/>
    </row>
    <row r="4" spans="1:15" s="1" customFormat="1" ht="15" customHeight="1">
      <c r="A4" s="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1" customFormat="1" ht="74.25" customHeight="1">
      <c r="A5" s="3"/>
      <c r="B5" s="15" t="s">
        <v>64</v>
      </c>
      <c r="C5" s="24" t="s">
        <v>16</v>
      </c>
      <c r="D5" s="24" t="s">
        <v>17</v>
      </c>
      <c r="E5" s="24" t="s">
        <v>18</v>
      </c>
      <c r="F5" s="24" t="s">
        <v>21</v>
      </c>
      <c r="G5" s="24" t="s">
        <v>25</v>
      </c>
      <c r="H5" s="24" t="s">
        <v>26</v>
      </c>
      <c r="I5" s="24" t="s">
        <v>27</v>
      </c>
      <c r="J5" s="24" t="s">
        <v>28</v>
      </c>
      <c r="K5" s="24" t="s">
        <v>29</v>
      </c>
      <c r="L5" s="24" t="s">
        <v>30</v>
      </c>
      <c r="M5" s="24" t="s">
        <v>31</v>
      </c>
      <c r="N5" s="24" t="s">
        <v>32</v>
      </c>
      <c r="O5" s="24" t="s">
        <v>85</v>
      </c>
    </row>
    <row r="6" spans="1:15" s="7" customFormat="1" ht="22.5">
      <c r="A6"/>
      <c r="B6" s="19" t="s">
        <v>1</v>
      </c>
      <c r="C6" s="26">
        <v>1275</v>
      </c>
      <c r="D6" s="26">
        <v>2448</v>
      </c>
      <c r="E6" s="26">
        <v>2181</v>
      </c>
      <c r="F6" s="26">
        <v>1831</v>
      </c>
      <c r="G6" s="26">
        <v>2167</v>
      </c>
      <c r="H6" s="26">
        <v>2172</v>
      </c>
      <c r="I6" s="26">
        <v>1338</v>
      </c>
      <c r="J6" s="26">
        <v>1822</v>
      </c>
      <c r="K6" s="26">
        <v>2816</v>
      </c>
      <c r="L6" s="26">
        <v>1834</v>
      </c>
      <c r="M6" s="26">
        <v>2751</v>
      </c>
      <c r="N6" s="26">
        <v>2802</v>
      </c>
      <c r="O6" s="30">
        <f aca="true" t="shared" si="0" ref="O6:O14">SUM(C6:N6)</f>
        <v>25437</v>
      </c>
    </row>
    <row r="7" spans="1:15" s="5" customFormat="1" ht="22.5">
      <c r="A7"/>
      <c r="B7" s="19" t="s">
        <v>2</v>
      </c>
      <c r="C7" s="26">
        <v>3814</v>
      </c>
      <c r="D7" s="26">
        <v>4421</v>
      </c>
      <c r="E7" s="26">
        <v>4993</v>
      </c>
      <c r="F7" s="26">
        <v>4050</v>
      </c>
      <c r="G7" s="26">
        <v>3981</v>
      </c>
      <c r="H7" s="26">
        <v>4210</v>
      </c>
      <c r="I7" s="26">
        <v>3338</v>
      </c>
      <c r="J7" s="26">
        <v>5371</v>
      </c>
      <c r="K7" s="26">
        <v>3868</v>
      </c>
      <c r="L7" s="26">
        <v>3877</v>
      </c>
      <c r="M7" s="26">
        <v>4821</v>
      </c>
      <c r="N7" s="26">
        <v>5874</v>
      </c>
      <c r="O7" s="30">
        <f t="shared" si="0"/>
        <v>52618</v>
      </c>
    </row>
    <row r="8" spans="1:15" s="5" customFormat="1" ht="22.5">
      <c r="A8"/>
      <c r="B8" s="19" t="s">
        <v>3</v>
      </c>
      <c r="C8" s="26">
        <v>1865</v>
      </c>
      <c r="D8" s="26">
        <v>2484</v>
      </c>
      <c r="E8" s="26">
        <v>2776</v>
      </c>
      <c r="F8" s="26">
        <v>2564</v>
      </c>
      <c r="G8" s="26">
        <v>2208</v>
      </c>
      <c r="H8" s="26">
        <v>2430</v>
      </c>
      <c r="I8" s="26">
        <v>2166</v>
      </c>
      <c r="J8" s="26">
        <v>4641</v>
      </c>
      <c r="K8" s="26">
        <v>2446</v>
      </c>
      <c r="L8" s="26">
        <v>2776</v>
      </c>
      <c r="M8" s="26">
        <v>2590</v>
      </c>
      <c r="N8" s="26">
        <v>2972</v>
      </c>
      <c r="O8" s="30">
        <f t="shared" si="0"/>
        <v>31918</v>
      </c>
    </row>
    <row r="9" spans="1:15" s="5" customFormat="1" ht="22.5">
      <c r="A9"/>
      <c r="B9" s="19" t="s">
        <v>4</v>
      </c>
      <c r="C9" s="26">
        <v>2435</v>
      </c>
      <c r="D9" s="26">
        <v>2869</v>
      </c>
      <c r="E9" s="26">
        <v>2735</v>
      </c>
      <c r="F9" s="26">
        <v>2705</v>
      </c>
      <c r="G9" s="26">
        <v>3301</v>
      </c>
      <c r="H9" s="26">
        <v>3014</v>
      </c>
      <c r="I9" s="26">
        <v>2304</v>
      </c>
      <c r="J9" s="26">
        <v>3437</v>
      </c>
      <c r="K9" s="26">
        <v>2983</v>
      </c>
      <c r="L9" s="26">
        <v>3525</v>
      </c>
      <c r="M9" s="26">
        <v>2965</v>
      </c>
      <c r="N9" s="26">
        <v>2931</v>
      </c>
      <c r="O9" s="30">
        <f t="shared" si="0"/>
        <v>35204</v>
      </c>
    </row>
    <row r="10" spans="1:15" s="5" customFormat="1" ht="22.5">
      <c r="A10"/>
      <c r="B10" s="19" t="s">
        <v>5</v>
      </c>
      <c r="C10" s="26">
        <v>1817</v>
      </c>
      <c r="D10" s="26">
        <v>1631</v>
      </c>
      <c r="E10" s="26">
        <v>1999</v>
      </c>
      <c r="F10" s="26">
        <v>1520</v>
      </c>
      <c r="G10" s="26">
        <v>1457</v>
      </c>
      <c r="H10" s="26">
        <v>1581</v>
      </c>
      <c r="I10" s="26">
        <v>1318</v>
      </c>
      <c r="J10" s="26">
        <v>1819</v>
      </c>
      <c r="K10" s="26">
        <v>1517</v>
      </c>
      <c r="L10" s="26">
        <v>1474</v>
      </c>
      <c r="M10" s="26">
        <v>1851</v>
      </c>
      <c r="N10" s="26">
        <v>2689</v>
      </c>
      <c r="O10" s="30">
        <f t="shared" si="0"/>
        <v>20673</v>
      </c>
    </row>
    <row r="11" spans="1:15" s="5" customFormat="1" ht="22.5">
      <c r="A11"/>
      <c r="B11" s="19" t="s">
        <v>6</v>
      </c>
      <c r="C11" s="26">
        <v>1538</v>
      </c>
      <c r="D11" s="26">
        <v>1906</v>
      </c>
      <c r="E11" s="26">
        <v>2045</v>
      </c>
      <c r="F11" s="26">
        <v>2174</v>
      </c>
      <c r="G11" s="26">
        <v>1740</v>
      </c>
      <c r="H11" s="26">
        <v>1541</v>
      </c>
      <c r="I11" s="26">
        <v>2032</v>
      </c>
      <c r="J11" s="26">
        <v>1956</v>
      </c>
      <c r="K11" s="26">
        <v>1618</v>
      </c>
      <c r="L11" s="26">
        <v>1985</v>
      </c>
      <c r="M11" s="26">
        <v>2145</v>
      </c>
      <c r="N11" s="26">
        <v>2402</v>
      </c>
      <c r="O11" s="30">
        <f t="shared" si="0"/>
        <v>23082</v>
      </c>
    </row>
    <row r="12" spans="1:15" s="5" customFormat="1" ht="22.5">
      <c r="A12"/>
      <c r="B12" s="19" t="s">
        <v>7</v>
      </c>
      <c r="C12" s="26">
        <v>2668</v>
      </c>
      <c r="D12" s="26">
        <v>2073</v>
      </c>
      <c r="E12" s="26">
        <v>2606</v>
      </c>
      <c r="F12" s="26">
        <v>2971</v>
      </c>
      <c r="G12" s="26">
        <v>3014</v>
      </c>
      <c r="H12" s="26">
        <v>2084</v>
      </c>
      <c r="I12" s="26">
        <v>1956</v>
      </c>
      <c r="J12" s="26">
        <v>2975</v>
      </c>
      <c r="K12" s="26">
        <v>2304</v>
      </c>
      <c r="L12" s="26">
        <v>2861</v>
      </c>
      <c r="M12" s="26">
        <v>2968</v>
      </c>
      <c r="N12" s="26">
        <v>2415</v>
      </c>
      <c r="O12" s="30">
        <f t="shared" si="0"/>
        <v>30895</v>
      </c>
    </row>
    <row r="13" spans="1:15" s="5" customFormat="1" ht="22.5">
      <c r="A13"/>
      <c r="B13" s="19" t="s">
        <v>8</v>
      </c>
      <c r="C13" s="26">
        <v>1629</v>
      </c>
      <c r="D13" s="26">
        <v>1710</v>
      </c>
      <c r="E13" s="26">
        <v>1958</v>
      </c>
      <c r="F13" s="26">
        <v>2249</v>
      </c>
      <c r="G13" s="26">
        <v>1482</v>
      </c>
      <c r="H13" s="26">
        <v>2110</v>
      </c>
      <c r="I13" s="26">
        <v>1816</v>
      </c>
      <c r="J13" s="26">
        <v>1852</v>
      </c>
      <c r="K13" s="26">
        <v>1637</v>
      </c>
      <c r="L13" s="26">
        <v>2057</v>
      </c>
      <c r="M13" s="26">
        <v>1682</v>
      </c>
      <c r="N13" s="26">
        <v>2570</v>
      </c>
      <c r="O13" s="30">
        <f t="shared" si="0"/>
        <v>22752</v>
      </c>
    </row>
    <row r="14" spans="1:15" s="5" customFormat="1" ht="22.5">
      <c r="A14"/>
      <c r="B14" s="19" t="s">
        <v>9</v>
      </c>
      <c r="C14" s="26">
        <v>1345</v>
      </c>
      <c r="D14" s="26">
        <v>1446</v>
      </c>
      <c r="E14" s="26">
        <v>1495</v>
      </c>
      <c r="F14" s="26">
        <v>1873</v>
      </c>
      <c r="G14" s="26">
        <v>1284</v>
      </c>
      <c r="H14" s="26">
        <v>1233</v>
      </c>
      <c r="I14" s="26">
        <v>1303</v>
      </c>
      <c r="J14" s="26">
        <v>1451</v>
      </c>
      <c r="K14" s="26">
        <v>1541</v>
      </c>
      <c r="L14" s="26">
        <v>2059</v>
      </c>
      <c r="M14" s="26">
        <v>2300</v>
      </c>
      <c r="N14" s="26">
        <v>1568</v>
      </c>
      <c r="O14" s="30">
        <f t="shared" si="0"/>
        <v>18898</v>
      </c>
    </row>
    <row r="15" spans="1:15" s="5" customFormat="1" ht="22.5">
      <c r="A15"/>
      <c r="B15" s="19" t="s">
        <v>22</v>
      </c>
      <c r="C15" s="25">
        <f>SUM(C6:C14)</f>
        <v>18386</v>
      </c>
      <c r="D15" s="25">
        <f aca="true" t="shared" si="1" ref="D15:O15">SUM(D6:D14)</f>
        <v>20988</v>
      </c>
      <c r="E15" s="25">
        <f t="shared" si="1"/>
        <v>22788</v>
      </c>
      <c r="F15" s="25">
        <f t="shared" si="1"/>
        <v>21937</v>
      </c>
      <c r="G15" s="25">
        <f t="shared" si="1"/>
        <v>20634</v>
      </c>
      <c r="H15" s="25">
        <f t="shared" si="1"/>
        <v>20375</v>
      </c>
      <c r="I15" s="25">
        <f t="shared" si="1"/>
        <v>17571</v>
      </c>
      <c r="J15" s="25">
        <f t="shared" si="1"/>
        <v>25324</v>
      </c>
      <c r="K15" s="25">
        <f t="shared" si="1"/>
        <v>20730</v>
      </c>
      <c r="L15" s="25">
        <f t="shared" si="1"/>
        <v>22448</v>
      </c>
      <c r="M15" s="25">
        <f t="shared" si="1"/>
        <v>24073</v>
      </c>
      <c r="N15" s="25">
        <f t="shared" si="1"/>
        <v>26223</v>
      </c>
      <c r="O15" s="25">
        <f t="shared" si="1"/>
        <v>261477</v>
      </c>
    </row>
    <row r="16" spans="1:15" s="2" customFormat="1" ht="12.75">
      <c r="A16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2" customFormat="1" ht="14.25">
      <c r="A17"/>
      <c r="B17" s="53" t="s">
        <v>52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s="2" customFormat="1" ht="14.25">
      <c r="A18"/>
      <c r="B18" s="58" t="s">
        <v>71</v>
      </c>
      <c r="C18" s="58"/>
      <c r="D18" s="58"/>
      <c r="E18" s="58"/>
      <c r="F18" s="58"/>
      <c r="G18" s="58"/>
      <c r="H18" s="58"/>
      <c r="I18" s="58"/>
      <c r="J18" s="58"/>
      <c r="K18" s="14"/>
      <c r="L18" s="14"/>
      <c r="M18" s="14"/>
      <c r="N18" s="14"/>
      <c r="O18" s="14"/>
    </row>
    <row r="19" spans="1:15" s="2" customFormat="1" ht="12.75">
      <c r="A19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5" customFormat="1" ht="51">
      <c r="A20"/>
      <c r="B20" s="15" t="s">
        <v>63</v>
      </c>
      <c r="C20" s="24" t="s">
        <v>16</v>
      </c>
      <c r="D20" s="24" t="s">
        <v>17</v>
      </c>
      <c r="E20" s="24" t="s">
        <v>18</v>
      </c>
      <c r="F20" s="24" t="s">
        <v>21</v>
      </c>
      <c r="G20" s="24" t="s">
        <v>25</v>
      </c>
      <c r="H20" s="24" t="s">
        <v>26</v>
      </c>
      <c r="I20" s="24" t="s">
        <v>27</v>
      </c>
      <c r="J20" s="24" t="s">
        <v>28</v>
      </c>
      <c r="K20" s="24" t="s">
        <v>29</v>
      </c>
      <c r="L20" s="24" t="s">
        <v>30</v>
      </c>
      <c r="M20" s="24" t="s">
        <v>31</v>
      </c>
      <c r="N20" s="24" t="s">
        <v>32</v>
      </c>
      <c r="O20" s="24" t="s">
        <v>85</v>
      </c>
    </row>
    <row r="21" spans="1:15" s="5" customFormat="1" ht="22.5">
      <c r="A21"/>
      <c r="B21" s="19" t="s">
        <v>1</v>
      </c>
      <c r="C21" s="27">
        <v>932</v>
      </c>
      <c r="D21" s="27">
        <v>1198</v>
      </c>
      <c r="E21" s="27">
        <v>1292</v>
      </c>
      <c r="F21" s="27">
        <v>1731</v>
      </c>
      <c r="G21" s="27">
        <v>1251</v>
      </c>
      <c r="H21" s="27">
        <v>1272</v>
      </c>
      <c r="I21" s="27">
        <v>912</v>
      </c>
      <c r="J21" s="27">
        <v>1332</v>
      </c>
      <c r="K21" s="27">
        <v>1069</v>
      </c>
      <c r="L21" s="27">
        <v>1159</v>
      </c>
      <c r="M21" s="27">
        <v>1752</v>
      </c>
      <c r="N21" s="27">
        <v>1939</v>
      </c>
      <c r="O21" s="28">
        <f aca="true" t="shared" si="2" ref="O21:O29">SUM(C21:N21)</f>
        <v>15839</v>
      </c>
    </row>
    <row r="22" spans="1:15" s="5" customFormat="1" ht="22.5">
      <c r="A22"/>
      <c r="B22" s="19" t="s">
        <v>10</v>
      </c>
      <c r="C22" s="27">
        <v>2375</v>
      </c>
      <c r="D22" s="27">
        <v>2820</v>
      </c>
      <c r="E22" s="27">
        <v>3303</v>
      </c>
      <c r="F22" s="27">
        <v>3063</v>
      </c>
      <c r="G22" s="27">
        <v>2740</v>
      </c>
      <c r="H22" s="27">
        <v>3033</v>
      </c>
      <c r="I22" s="27">
        <v>2612</v>
      </c>
      <c r="J22" s="27">
        <v>3135</v>
      </c>
      <c r="K22" s="27">
        <v>2934</v>
      </c>
      <c r="L22" s="27">
        <v>3448</v>
      </c>
      <c r="M22" s="27">
        <v>3366</v>
      </c>
      <c r="N22" s="27">
        <v>3421</v>
      </c>
      <c r="O22" s="28">
        <f t="shared" si="2"/>
        <v>36250</v>
      </c>
    </row>
    <row r="23" spans="1:15" s="5" customFormat="1" ht="22.5">
      <c r="A23"/>
      <c r="B23" s="19" t="s">
        <v>11</v>
      </c>
      <c r="C23" s="27">
        <v>1679</v>
      </c>
      <c r="D23" s="27">
        <v>1596</v>
      </c>
      <c r="E23" s="27">
        <v>1750</v>
      </c>
      <c r="F23" s="27">
        <v>1641</v>
      </c>
      <c r="G23" s="27">
        <v>1433</v>
      </c>
      <c r="H23" s="27">
        <v>1652</v>
      </c>
      <c r="I23" s="27">
        <v>1481</v>
      </c>
      <c r="J23" s="27">
        <v>1830</v>
      </c>
      <c r="K23" s="27">
        <v>1614</v>
      </c>
      <c r="L23" s="27">
        <v>1851</v>
      </c>
      <c r="M23" s="27">
        <v>1773</v>
      </c>
      <c r="N23" s="27">
        <v>1974</v>
      </c>
      <c r="O23" s="28">
        <f t="shared" si="2"/>
        <v>20274</v>
      </c>
    </row>
    <row r="24" spans="1:15" s="1" customFormat="1" ht="22.5">
      <c r="A24"/>
      <c r="B24" s="19" t="s">
        <v>12</v>
      </c>
      <c r="C24" s="27">
        <v>1929</v>
      </c>
      <c r="D24" s="27">
        <v>1864</v>
      </c>
      <c r="E24" s="27">
        <v>2071</v>
      </c>
      <c r="F24" s="27">
        <v>1989</v>
      </c>
      <c r="G24" s="27">
        <v>1867</v>
      </c>
      <c r="H24" s="27">
        <v>2154</v>
      </c>
      <c r="I24" s="27">
        <v>1720</v>
      </c>
      <c r="J24" s="27">
        <v>2470</v>
      </c>
      <c r="K24" s="27">
        <v>2047</v>
      </c>
      <c r="L24" s="27">
        <v>2490</v>
      </c>
      <c r="M24" s="27">
        <v>2084</v>
      </c>
      <c r="N24" s="27">
        <v>2293</v>
      </c>
      <c r="O24" s="28">
        <f t="shared" si="2"/>
        <v>24978</v>
      </c>
    </row>
    <row r="25" spans="1:15" s="1" customFormat="1" ht="22.5">
      <c r="A25"/>
      <c r="B25" s="19" t="s">
        <v>5</v>
      </c>
      <c r="C25" s="27">
        <v>862</v>
      </c>
      <c r="D25" s="27">
        <v>989</v>
      </c>
      <c r="E25" s="27">
        <v>1071</v>
      </c>
      <c r="F25" s="27">
        <v>1037</v>
      </c>
      <c r="G25" s="27">
        <v>939</v>
      </c>
      <c r="H25" s="27">
        <v>1023</v>
      </c>
      <c r="I25" s="27">
        <v>874</v>
      </c>
      <c r="J25" s="27">
        <v>1054</v>
      </c>
      <c r="K25" s="27">
        <v>994</v>
      </c>
      <c r="L25" s="27">
        <v>1035</v>
      </c>
      <c r="M25" s="27">
        <v>1178</v>
      </c>
      <c r="N25" s="27">
        <v>1186</v>
      </c>
      <c r="O25" s="28">
        <f t="shared" si="2"/>
        <v>12242</v>
      </c>
    </row>
    <row r="26" spans="1:15" s="1" customFormat="1" ht="22.5">
      <c r="A26"/>
      <c r="B26" s="19" t="s">
        <v>6</v>
      </c>
      <c r="C26" s="27">
        <v>912</v>
      </c>
      <c r="D26" s="27">
        <v>1072</v>
      </c>
      <c r="E26" s="27">
        <v>1026</v>
      </c>
      <c r="F26" s="27">
        <v>1018</v>
      </c>
      <c r="G26" s="27">
        <v>905</v>
      </c>
      <c r="H26" s="27">
        <v>912</v>
      </c>
      <c r="I26" s="27">
        <v>894</v>
      </c>
      <c r="J26" s="27">
        <v>1102</v>
      </c>
      <c r="K26" s="27">
        <v>1008</v>
      </c>
      <c r="L26" s="27">
        <v>1115</v>
      </c>
      <c r="M26" s="27">
        <v>1149</v>
      </c>
      <c r="N26" s="27">
        <v>1142</v>
      </c>
      <c r="O26" s="28">
        <f t="shared" si="2"/>
        <v>12255</v>
      </c>
    </row>
    <row r="27" spans="1:15" s="1" customFormat="1" ht="22.5">
      <c r="A27"/>
      <c r="B27" s="19" t="s">
        <v>13</v>
      </c>
      <c r="C27" s="27">
        <v>1035</v>
      </c>
      <c r="D27" s="27">
        <v>1378</v>
      </c>
      <c r="E27" s="27">
        <v>1502</v>
      </c>
      <c r="F27" s="27">
        <v>1556</v>
      </c>
      <c r="G27" s="27">
        <v>1308</v>
      </c>
      <c r="H27" s="27">
        <v>1290</v>
      </c>
      <c r="I27" s="27">
        <v>1318</v>
      </c>
      <c r="J27" s="27">
        <v>1622</v>
      </c>
      <c r="K27" s="27">
        <v>1340</v>
      </c>
      <c r="L27" s="27">
        <v>1683</v>
      </c>
      <c r="M27" s="27">
        <v>1773</v>
      </c>
      <c r="N27" s="27">
        <v>1412</v>
      </c>
      <c r="O27" s="28">
        <f t="shared" si="2"/>
        <v>17217</v>
      </c>
    </row>
    <row r="28" spans="1:15" s="1" customFormat="1" ht="22.5">
      <c r="A28"/>
      <c r="B28" s="19" t="s">
        <v>15</v>
      </c>
      <c r="C28" s="27">
        <v>1048</v>
      </c>
      <c r="D28" s="27">
        <v>1205</v>
      </c>
      <c r="E28" s="27">
        <v>1337</v>
      </c>
      <c r="F28" s="27">
        <v>1268</v>
      </c>
      <c r="G28" s="27">
        <v>1056</v>
      </c>
      <c r="H28" s="27">
        <v>1275</v>
      </c>
      <c r="I28" s="27">
        <v>1146</v>
      </c>
      <c r="J28" s="27">
        <v>1343</v>
      </c>
      <c r="K28" s="27">
        <v>1258</v>
      </c>
      <c r="L28" s="27">
        <v>1459</v>
      </c>
      <c r="M28" s="27">
        <v>1285</v>
      </c>
      <c r="N28" s="27">
        <v>1621</v>
      </c>
      <c r="O28" s="28">
        <f t="shared" si="2"/>
        <v>15301</v>
      </c>
    </row>
    <row r="29" spans="1:15" s="1" customFormat="1" ht="22.5">
      <c r="A29"/>
      <c r="B29" s="19" t="s">
        <v>14</v>
      </c>
      <c r="C29" s="27">
        <v>912</v>
      </c>
      <c r="D29" s="27">
        <v>1127</v>
      </c>
      <c r="E29" s="27">
        <v>1151</v>
      </c>
      <c r="F29" s="27">
        <v>1246</v>
      </c>
      <c r="G29" s="27">
        <v>1047</v>
      </c>
      <c r="H29" s="27">
        <v>981</v>
      </c>
      <c r="I29" s="27">
        <v>935</v>
      </c>
      <c r="J29" s="27">
        <v>1205</v>
      </c>
      <c r="K29" s="27">
        <v>1061</v>
      </c>
      <c r="L29" s="27">
        <v>1291</v>
      </c>
      <c r="M29" s="27">
        <v>1352</v>
      </c>
      <c r="N29" s="27">
        <v>1204</v>
      </c>
      <c r="O29" s="28">
        <f t="shared" si="2"/>
        <v>13512</v>
      </c>
    </row>
    <row r="30" spans="1:15" s="1" customFormat="1" ht="22.5">
      <c r="A30"/>
      <c r="B30" s="19" t="s">
        <v>22</v>
      </c>
      <c r="C30" s="25">
        <f>SUM(C21:C29)</f>
        <v>11684</v>
      </c>
      <c r="D30" s="25">
        <f aca="true" t="shared" si="3" ref="D30:O30">SUM(D21:D29)</f>
        <v>13249</v>
      </c>
      <c r="E30" s="25">
        <f t="shared" si="3"/>
        <v>14503</v>
      </c>
      <c r="F30" s="25">
        <f t="shared" si="3"/>
        <v>14549</v>
      </c>
      <c r="G30" s="25">
        <f t="shared" si="3"/>
        <v>12546</v>
      </c>
      <c r="H30" s="25">
        <f t="shared" si="3"/>
        <v>13592</v>
      </c>
      <c r="I30" s="25">
        <f t="shared" si="3"/>
        <v>11892</v>
      </c>
      <c r="J30" s="25">
        <f t="shared" si="3"/>
        <v>15093</v>
      </c>
      <c r="K30" s="25">
        <f t="shared" si="3"/>
        <v>13325</v>
      </c>
      <c r="L30" s="25">
        <f t="shared" si="3"/>
        <v>15531</v>
      </c>
      <c r="M30" s="25">
        <f t="shared" si="3"/>
        <v>15712</v>
      </c>
      <c r="N30" s="25">
        <f t="shared" si="3"/>
        <v>16192</v>
      </c>
      <c r="O30" s="25">
        <f t="shared" si="3"/>
        <v>167868</v>
      </c>
    </row>
    <row r="32" spans="2:15" ht="12.75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2:15" ht="14.25">
      <c r="B33" s="53" t="s">
        <v>53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2:15" ht="14.25">
      <c r="B34" s="53" t="s">
        <v>70</v>
      </c>
      <c r="C34" s="53"/>
      <c r="D34" s="53"/>
      <c r="E34" s="53"/>
      <c r="F34" s="53"/>
      <c r="G34" s="53"/>
      <c r="H34" s="53"/>
      <c r="I34" s="53"/>
      <c r="J34" s="53"/>
      <c r="K34" s="53"/>
      <c r="L34" s="14"/>
      <c r="M34" s="14"/>
      <c r="N34" s="14"/>
      <c r="O34" s="14"/>
    </row>
    <row r="35" spans="2:15" ht="14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ht="51">
      <c r="B36" s="15" t="s">
        <v>63</v>
      </c>
      <c r="C36" s="24" t="s">
        <v>16</v>
      </c>
      <c r="D36" s="24" t="s">
        <v>17</v>
      </c>
      <c r="E36" s="24" t="s">
        <v>18</v>
      </c>
      <c r="F36" s="24" t="s">
        <v>21</v>
      </c>
      <c r="G36" s="24" t="s">
        <v>25</v>
      </c>
      <c r="H36" s="24" t="s">
        <v>26</v>
      </c>
      <c r="I36" s="24" t="s">
        <v>27</v>
      </c>
      <c r="J36" s="24" t="s">
        <v>28</v>
      </c>
      <c r="K36" s="24" t="s">
        <v>29</v>
      </c>
      <c r="L36" s="24" t="s">
        <v>30</v>
      </c>
      <c r="M36" s="24" t="s">
        <v>31</v>
      </c>
      <c r="N36" s="24" t="s">
        <v>32</v>
      </c>
      <c r="O36" s="24" t="s">
        <v>85</v>
      </c>
    </row>
    <row r="37" spans="2:15" ht="22.5">
      <c r="B37" s="19" t="s">
        <v>1</v>
      </c>
      <c r="C37" s="27">
        <v>48</v>
      </c>
      <c r="D37" s="27">
        <v>15</v>
      </c>
      <c r="E37" s="27">
        <v>18</v>
      </c>
      <c r="F37" s="27">
        <v>46</v>
      </c>
      <c r="G37" s="27">
        <v>16</v>
      </c>
      <c r="H37" s="27">
        <v>14</v>
      </c>
      <c r="I37" s="27">
        <v>19</v>
      </c>
      <c r="J37" s="27">
        <v>23</v>
      </c>
      <c r="K37" s="27">
        <v>27</v>
      </c>
      <c r="L37" s="27">
        <v>14</v>
      </c>
      <c r="M37" s="27">
        <v>26</v>
      </c>
      <c r="N37" s="27">
        <v>17</v>
      </c>
      <c r="O37" s="28">
        <f aca="true" t="shared" si="4" ref="O37:O45">SUM(C37:N37)</f>
        <v>283</v>
      </c>
    </row>
    <row r="38" spans="2:15" ht="22.5">
      <c r="B38" s="19" t="s">
        <v>2</v>
      </c>
      <c r="C38" s="27">
        <v>105</v>
      </c>
      <c r="D38" s="27">
        <v>53</v>
      </c>
      <c r="E38" s="27">
        <v>109</v>
      </c>
      <c r="F38" s="27">
        <v>99</v>
      </c>
      <c r="G38" s="27">
        <v>85</v>
      </c>
      <c r="H38" s="27">
        <v>93</v>
      </c>
      <c r="I38" s="27">
        <v>106</v>
      </c>
      <c r="J38" s="27">
        <v>173</v>
      </c>
      <c r="K38" s="27">
        <v>133</v>
      </c>
      <c r="L38" s="27">
        <v>134</v>
      </c>
      <c r="M38" s="27">
        <v>138</v>
      </c>
      <c r="N38" s="27">
        <v>206</v>
      </c>
      <c r="O38" s="28">
        <f t="shared" si="4"/>
        <v>1434</v>
      </c>
    </row>
    <row r="39" spans="2:15" ht="22.5">
      <c r="B39" s="19" t="s">
        <v>3</v>
      </c>
      <c r="C39" s="27">
        <v>65</v>
      </c>
      <c r="D39" s="27">
        <v>42</v>
      </c>
      <c r="E39" s="27">
        <v>46</v>
      </c>
      <c r="F39" s="27">
        <v>118</v>
      </c>
      <c r="G39" s="27">
        <v>69</v>
      </c>
      <c r="H39" s="27">
        <v>95</v>
      </c>
      <c r="I39" s="27">
        <v>172</v>
      </c>
      <c r="J39" s="27">
        <v>39</v>
      </c>
      <c r="K39" s="27">
        <v>40</v>
      </c>
      <c r="L39" s="27">
        <v>71</v>
      </c>
      <c r="M39" s="27">
        <v>41</v>
      </c>
      <c r="N39" s="27">
        <v>39</v>
      </c>
      <c r="O39" s="28">
        <f t="shared" si="4"/>
        <v>837</v>
      </c>
    </row>
    <row r="40" spans="2:15" ht="22.5">
      <c r="B40" s="19" t="s">
        <v>4</v>
      </c>
      <c r="C40" s="27">
        <v>30</v>
      </c>
      <c r="D40" s="27">
        <v>47</v>
      </c>
      <c r="E40" s="27">
        <v>40</v>
      </c>
      <c r="F40" s="27">
        <v>54</v>
      </c>
      <c r="G40" s="27">
        <v>60</v>
      </c>
      <c r="H40" s="27">
        <v>16</v>
      </c>
      <c r="I40" s="27">
        <v>36</v>
      </c>
      <c r="J40" s="27">
        <v>40</v>
      </c>
      <c r="K40" s="27">
        <v>33</v>
      </c>
      <c r="L40" s="27">
        <v>35</v>
      </c>
      <c r="M40" s="27">
        <v>30</v>
      </c>
      <c r="N40" s="27">
        <v>72</v>
      </c>
      <c r="O40" s="28">
        <f t="shared" si="4"/>
        <v>493</v>
      </c>
    </row>
    <row r="41" spans="2:15" ht="22.5">
      <c r="B41" s="19" t="s">
        <v>5</v>
      </c>
      <c r="C41" s="27">
        <v>106</v>
      </c>
      <c r="D41" s="27">
        <v>39</v>
      </c>
      <c r="E41" s="27">
        <v>52</v>
      </c>
      <c r="F41" s="27">
        <v>43</v>
      </c>
      <c r="G41" s="27">
        <v>36</v>
      </c>
      <c r="H41" s="27">
        <v>53</v>
      </c>
      <c r="I41" s="27">
        <v>36</v>
      </c>
      <c r="J41" s="27">
        <v>46</v>
      </c>
      <c r="K41" s="27">
        <v>33</v>
      </c>
      <c r="L41" s="27">
        <v>50</v>
      </c>
      <c r="M41" s="27">
        <v>51</v>
      </c>
      <c r="N41" s="27">
        <v>48</v>
      </c>
      <c r="O41" s="28">
        <f t="shared" si="4"/>
        <v>593</v>
      </c>
    </row>
    <row r="42" spans="2:15" ht="22.5">
      <c r="B42" s="19" t="s">
        <v>6</v>
      </c>
      <c r="C42" s="27">
        <v>23</v>
      </c>
      <c r="D42" s="27">
        <v>2</v>
      </c>
      <c r="E42" s="27">
        <v>2</v>
      </c>
      <c r="F42" s="27">
        <v>10</v>
      </c>
      <c r="G42" s="27">
        <v>13</v>
      </c>
      <c r="H42" s="27">
        <v>34</v>
      </c>
      <c r="I42" s="27">
        <v>7</v>
      </c>
      <c r="J42" s="27">
        <v>4</v>
      </c>
      <c r="K42" s="27">
        <v>25</v>
      </c>
      <c r="L42" s="27">
        <v>7</v>
      </c>
      <c r="M42" s="27">
        <v>76</v>
      </c>
      <c r="N42" s="27">
        <v>9</v>
      </c>
      <c r="O42" s="28">
        <f t="shared" si="4"/>
        <v>212</v>
      </c>
    </row>
    <row r="43" spans="2:15" ht="22.5">
      <c r="B43" s="19" t="s">
        <v>7</v>
      </c>
      <c r="C43" s="27">
        <v>135</v>
      </c>
      <c r="D43" s="27">
        <v>80</v>
      </c>
      <c r="E43" s="27">
        <v>91</v>
      </c>
      <c r="F43" s="27">
        <v>93</v>
      </c>
      <c r="G43" s="27">
        <v>76</v>
      </c>
      <c r="H43" s="27">
        <v>66</v>
      </c>
      <c r="I43" s="27">
        <v>167</v>
      </c>
      <c r="J43" s="27">
        <v>72</v>
      </c>
      <c r="K43" s="27">
        <v>71</v>
      </c>
      <c r="L43" s="27">
        <v>86</v>
      </c>
      <c r="M43" s="27">
        <v>75</v>
      </c>
      <c r="N43" s="27">
        <v>65</v>
      </c>
      <c r="O43" s="28">
        <f t="shared" si="4"/>
        <v>1077</v>
      </c>
    </row>
    <row r="44" spans="2:15" ht="22.5">
      <c r="B44" s="19" t="s">
        <v>8</v>
      </c>
      <c r="C44" s="27">
        <v>44</v>
      </c>
      <c r="D44" s="27">
        <v>42</v>
      </c>
      <c r="E44" s="27">
        <v>56</v>
      </c>
      <c r="F44" s="27">
        <v>62</v>
      </c>
      <c r="G44" s="27">
        <v>72</v>
      </c>
      <c r="H44" s="27">
        <v>72</v>
      </c>
      <c r="I44" s="27">
        <v>70</v>
      </c>
      <c r="J44" s="27">
        <v>43</v>
      </c>
      <c r="K44" s="27">
        <v>42</v>
      </c>
      <c r="L44" s="27">
        <v>56</v>
      </c>
      <c r="M44" s="27">
        <v>46</v>
      </c>
      <c r="N44" s="27">
        <v>47</v>
      </c>
      <c r="O44" s="28">
        <f t="shared" si="4"/>
        <v>652</v>
      </c>
    </row>
    <row r="45" spans="2:15" ht="22.5">
      <c r="B45" s="19" t="s">
        <v>9</v>
      </c>
      <c r="C45" s="27">
        <v>19</v>
      </c>
      <c r="D45" s="27">
        <v>76</v>
      </c>
      <c r="E45" s="27">
        <v>42</v>
      </c>
      <c r="F45" s="27">
        <v>32</v>
      </c>
      <c r="G45" s="27">
        <v>26</v>
      </c>
      <c r="H45" s="27">
        <v>34</v>
      </c>
      <c r="I45" s="27">
        <v>19</v>
      </c>
      <c r="J45" s="27">
        <v>28</v>
      </c>
      <c r="K45" s="27">
        <v>47</v>
      </c>
      <c r="L45" s="27">
        <v>49</v>
      </c>
      <c r="M45" s="27">
        <v>28</v>
      </c>
      <c r="N45" s="27">
        <v>38</v>
      </c>
      <c r="O45" s="28">
        <f t="shared" si="4"/>
        <v>438</v>
      </c>
    </row>
    <row r="46" spans="2:15" ht="22.5">
      <c r="B46" s="19" t="s">
        <v>22</v>
      </c>
      <c r="C46" s="25">
        <f>SUM(C37:C45)</f>
        <v>575</v>
      </c>
      <c r="D46" s="25">
        <f aca="true" t="shared" si="5" ref="D46:O46">SUM(D37:D45)</f>
        <v>396</v>
      </c>
      <c r="E46" s="25">
        <f t="shared" si="5"/>
        <v>456</v>
      </c>
      <c r="F46" s="25">
        <f t="shared" si="5"/>
        <v>557</v>
      </c>
      <c r="G46" s="25">
        <f t="shared" si="5"/>
        <v>453</v>
      </c>
      <c r="H46" s="25">
        <f t="shared" si="5"/>
        <v>477</v>
      </c>
      <c r="I46" s="25">
        <f t="shared" si="5"/>
        <v>632</v>
      </c>
      <c r="J46" s="25">
        <f t="shared" si="5"/>
        <v>468</v>
      </c>
      <c r="K46" s="25">
        <f t="shared" si="5"/>
        <v>451</v>
      </c>
      <c r="L46" s="25">
        <f t="shared" si="5"/>
        <v>502</v>
      </c>
      <c r="M46" s="25">
        <f t="shared" si="5"/>
        <v>511</v>
      </c>
      <c r="N46" s="25">
        <f t="shared" si="5"/>
        <v>541</v>
      </c>
      <c r="O46" s="25">
        <f t="shared" si="5"/>
        <v>6019</v>
      </c>
    </row>
    <row r="47" spans="2:15" ht="12.7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ht="12.75">
      <c r="B48" t="s">
        <v>83</v>
      </c>
    </row>
    <row r="49" spans="2:6" ht="12.75">
      <c r="B49" s="57" t="s">
        <v>84</v>
      </c>
      <c r="C49" s="57"/>
      <c r="D49" s="57"/>
      <c r="E49" s="57"/>
      <c r="F49" s="57"/>
    </row>
  </sheetData>
  <sheetProtection/>
  <mergeCells count="7">
    <mergeCell ref="B49:F49"/>
    <mergeCell ref="B2:O2"/>
    <mergeCell ref="B17:O17"/>
    <mergeCell ref="B33:O33"/>
    <mergeCell ref="B3:J3"/>
    <mergeCell ref="B18:J18"/>
    <mergeCell ref="B34:K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rightToLeft="1" zoomScalePageLayoutView="0" workbookViewId="0" topLeftCell="A37">
      <selection activeCell="N62" sqref="N62"/>
    </sheetView>
  </sheetViews>
  <sheetFormatPr defaultColWidth="9.140625" defaultRowHeight="12.75"/>
  <cols>
    <col min="1" max="1" width="3.421875" style="0" customWidth="1"/>
    <col min="2" max="2" width="22.140625" style="0" customWidth="1"/>
    <col min="11" max="11" width="12.421875" style="0" customWidth="1"/>
    <col min="14" max="14" width="10.28125" style="0" bestFit="1" customWidth="1"/>
  </cols>
  <sheetData>
    <row r="1" spans="1:2" s="4" customFormat="1" ht="9.75" customHeight="1">
      <c r="A1" s="6"/>
      <c r="B1" s="8"/>
    </row>
    <row r="2" spans="1:15" s="1" customFormat="1" ht="15" customHeight="1">
      <c r="A2" s="3"/>
      <c r="B2" s="53" t="s">
        <v>54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" customFormat="1" ht="15" customHeight="1">
      <c r="A3" s="3"/>
      <c r="B3" s="53" t="s">
        <v>67</v>
      </c>
      <c r="C3" s="53"/>
      <c r="D3" s="53"/>
      <c r="E3" s="53"/>
      <c r="F3" s="53"/>
      <c r="G3" s="53"/>
      <c r="H3" s="53"/>
      <c r="I3" s="53"/>
      <c r="J3" s="53"/>
      <c r="K3" s="14"/>
      <c r="L3" s="14"/>
      <c r="M3" s="14"/>
      <c r="N3" s="14"/>
      <c r="O3" s="14"/>
    </row>
    <row r="4" spans="1:15" s="1" customFormat="1" ht="15" customHeight="1">
      <c r="A4" s="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1" customFormat="1" ht="74.25" customHeight="1">
      <c r="A5" s="3"/>
      <c r="B5" s="15" t="s">
        <v>69</v>
      </c>
      <c r="C5" s="24" t="s">
        <v>16</v>
      </c>
      <c r="D5" s="24" t="s">
        <v>17</v>
      </c>
      <c r="E5" s="24" t="s">
        <v>18</v>
      </c>
      <c r="F5" s="24" t="s">
        <v>21</v>
      </c>
      <c r="G5" s="24" t="s">
        <v>25</v>
      </c>
      <c r="H5" s="24" t="s">
        <v>26</v>
      </c>
      <c r="I5" s="24" t="s">
        <v>27</v>
      </c>
      <c r="J5" s="24" t="s">
        <v>28</v>
      </c>
      <c r="K5" s="24" t="s">
        <v>29</v>
      </c>
      <c r="L5" s="24" t="s">
        <v>30</v>
      </c>
      <c r="M5" s="24" t="s">
        <v>31</v>
      </c>
      <c r="N5" s="24" t="s">
        <v>32</v>
      </c>
      <c r="O5" s="24" t="s">
        <v>85</v>
      </c>
    </row>
    <row r="6" spans="1:15" s="7" customFormat="1" ht="22.5">
      <c r="A6"/>
      <c r="B6" s="19" t="s">
        <v>1</v>
      </c>
      <c r="C6" s="27">
        <v>17435</v>
      </c>
      <c r="D6" s="27">
        <v>20000</v>
      </c>
      <c r="E6" s="27">
        <v>20689</v>
      </c>
      <c r="F6" s="27">
        <v>16474</v>
      </c>
      <c r="G6" s="27">
        <v>16011</v>
      </c>
      <c r="H6" s="27">
        <v>17728</v>
      </c>
      <c r="I6" s="27">
        <v>14155</v>
      </c>
      <c r="J6" s="27">
        <v>18173</v>
      </c>
      <c r="K6" s="27">
        <v>16364</v>
      </c>
      <c r="L6" s="27">
        <v>15390</v>
      </c>
      <c r="M6" s="27">
        <v>21331</v>
      </c>
      <c r="N6" s="27">
        <v>34816</v>
      </c>
      <c r="O6" s="28">
        <f aca="true" t="shared" si="0" ref="O6:O14">SUM(C6:N6)</f>
        <v>228566</v>
      </c>
    </row>
    <row r="7" spans="1:15" s="5" customFormat="1" ht="22.5">
      <c r="A7"/>
      <c r="B7" s="19" t="s">
        <v>2</v>
      </c>
      <c r="C7" s="27">
        <v>13689</v>
      </c>
      <c r="D7" s="27">
        <v>13175</v>
      </c>
      <c r="E7" s="27">
        <v>16253</v>
      </c>
      <c r="F7" s="27">
        <v>14960</v>
      </c>
      <c r="G7" s="27">
        <v>13239</v>
      </c>
      <c r="H7" s="27">
        <v>17816</v>
      </c>
      <c r="I7" s="27">
        <v>20482</v>
      </c>
      <c r="J7" s="27">
        <v>18499</v>
      </c>
      <c r="K7" s="27">
        <v>20654</v>
      </c>
      <c r="L7" s="27">
        <v>14822</v>
      </c>
      <c r="M7" s="27">
        <v>17969</v>
      </c>
      <c r="N7" s="27">
        <v>19802</v>
      </c>
      <c r="O7" s="28">
        <f t="shared" si="0"/>
        <v>201360</v>
      </c>
    </row>
    <row r="8" spans="1:15" s="5" customFormat="1" ht="22.5">
      <c r="A8"/>
      <c r="B8" s="19" t="s">
        <v>3</v>
      </c>
      <c r="C8" s="27">
        <v>6979</v>
      </c>
      <c r="D8" s="27">
        <v>6778</v>
      </c>
      <c r="E8" s="27">
        <v>7202</v>
      </c>
      <c r="F8" s="27">
        <v>7580</v>
      </c>
      <c r="G8" s="27">
        <v>5966</v>
      </c>
      <c r="H8" s="27">
        <v>6742</v>
      </c>
      <c r="I8" s="27">
        <v>6071</v>
      </c>
      <c r="J8" s="27">
        <v>7459</v>
      </c>
      <c r="K8" s="27">
        <v>5826</v>
      </c>
      <c r="L8" s="27">
        <v>6745</v>
      </c>
      <c r="M8" s="27">
        <v>6849</v>
      </c>
      <c r="N8" s="27">
        <v>10928</v>
      </c>
      <c r="O8" s="28">
        <f t="shared" si="0"/>
        <v>85125</v>
      </c>
    </row>
    <row r="9" spans="1:15" s="5" customFormat="1" ht="22.5">
      <c r="A9"/>
      <c r="B9" s="19" t="s">
        <v>4</v>
      </c>
      <c r="C9" s="27">
        <v>11289</v>
      </c>
      <c r="D9" s="27">
        <v>10606</v>
      </c>
      <c r="E9" s="27">
        <v>13117</v>
      </c>
      <c r="F9" s="27">
        <v>12046</v>
      </c>
      <c r="G9" s="27">
        <v>11078</v>
      </c>
      <c r="H9" s="27">
        <v>11564</v>
      </c>
      <c r="I9" s="27">
        <v>10464</v>
      </c>
      <c r="J9" s="27">
        <v>11330</v>
      </c>
      <c r="K9" s="27">
        <v>13418</v>
      </c>
      <c r="L9" s="27">
        <v>14077</v>
      </c>
      <c r="M9" s="27">
        <v>12443</v>
      </c>
      <c r="N9" s="27">
        <v>19235</v>
      </c>
      <c r="O9" s="28">
        <f t="shared" si="0"/>
        <v>150667</v>
      </c>
    </row>
    <row r="10" spans="1:15" s="5" customFormat="1" ht="22.5">
      <c r="A10"/>
      <c r="B10" s="19" t="s">
        <v>5</v>
      </c>
      <c r="C10" s="27">
        <v>1778</v>
      </c>
      <c r="D10" s="27">
        <v>2123</v>
      </c>
      <c r="E10" s="27">
        <v>2418</v>
      </c>
      <c r="F10" s="27">
        <v>3146</v>
      </c>
      <c r="G10" s="27">
        <v>2399</v>
      </c>
      <c r="H10" s="27">
        <v>1845</v>
      </c>
      <c r="I10" s="27">
        <v>2139</v>
      </c>
      <c r="J10" s="27">
        <v>2054</v>
      </c>
      <c r="K10" s="27">
        <v>2312</v>
      </c>
      <c r="L10" s="27">
        <v>2493</v>
      </c>
      <c r="M10" s="27">
        <v>2384</v>
      </c>
      <c r="N10" s="27">
        <v>3337</v>
      </c>
      <c r="O10" s="28">
        <f t="shared" si="0"/>
        <v>28428</v>
      </c>
    </row>
    <row r="11" spans="1:15" s="5" customFormat="1" ht="22.5">
      <c r="A11"/>
      <c r="B11" s="19" t="s">
        <v>6</v>
      </c>
      <c r="C11" s="27">
        <v>2925</v>
      </c>
      <c r="D11" s="27">
        <v>3560</v>
      </c>
      <c r="E11" s="27">
        <v>2855</v>
      </c>
      <c r="F11" s="27">
        <v>3041</v>
      </c>
      <c r="G11" s="27">
        <v>2649</v>
      </c>
      <c r="H11" s="27">
        <v>3057</v>
      </c>
      <c r="I11" s="27">
        <v>2805</v>
      </c>
      <c r="J11" s="27">
        <v>2983</v>
      </c>
      <c r="K11" s="27">
        <v>2749</v>
      </c>
      <c r="L11" s="27">
        <v>2992</v>
      </c>
      <c r="M11" s="27">
        <v>3029</v>
      </c>
      <c r="N11" s="27">
        <v>4234</v>
      </c>
      <c r="O11" s="28">
        <f t="shared" si="0"/>
        <v>36879</v>
      </c>
    </row>
    <row r="12" spans="1:15" s="5" customFormat="1" ht="22.5">
      <c r="A12"/>
      <c r="B12" s="19" t="s">
        <v>7</v>
      </c>
      <c r="C12" s="27">
        <v>2045</v>
      </c>
      <c r="D12" s="27">
        <v>2739</v>
      </c>
      <c r="E12" s="27">
        <v>3529</v>
      </c>
      <c r="F12" s="27">
        <v>3977</v>
      </c>
      <c r="G12" s="27">
        <v>1657</v>
      </c>
      <c r="H12" s="27">
        <v>2098</v>
      </c>
      <c r="I12" s="27">
        <v>3185</v>
      </c>
      <c r="J12" s="27">
        <v>2634</v>
      </c>
      <c r="K12" s="27">
        <v>3253</v>
      </c>
      <c r="L12" s="27">
        <v>2298</v>
      </c>
      <c r="M12" s="27">
        <v>4510</v>
      </c>
      <c r="N12" s="27">
        <v>2830</v>
      </c>
      <c r="O12" s="28">
        <f t="shared" si="0"/>
        <v>34755</v>
      </c>
    </row>
    <row r="13" spans="1:15" s="5" customFormat="1" ht="22.5">
      <c r="A13"/>
      <c r="B13" s="19" t="s">
        <v>8</v>
      </c>
      <c r="C13" s="27">
        <v>5050</v>
      </c>
      <c r="D13" s="27">
        <v>7720</v>
      </c>
      <c r="E13" s="27">
        <v>5086</v>
      </c>
      <c r="F13" s="27">
        <v>4640</v>
      </c>
      <c r="G13" s="27">
        <v>5069</v>
      </c>
      <c r="H13" s="27">
        <v>4224</v>
      </c>
      <c r="I13" s="27">
        <v>6180</v>
      </c>
      <c r="J13" s="27">
        <v>5456</v>
      </c>
      <c r="K13" s="27">
        <v>5020</v>
      </c>
      <c r="L13" s="27">
        <v>3946</v>
      </c>
      <c r="M13" s="27">
        <v>4068</v>
      </c>
      <c r="N13" s="27">
        <v>8766</v>
      </c>
      <c r="O13" s="28">
        <f t="shared" si="0"/>
        <v>65225</v>
      </c>
    </row>
    <row r="14" spans="1:15" s="5" customFormat="1" ht="22.5">
      <c r="A14"/>
      <c r="B14" s="19" t="s">
        <v>9</v>
      </c>
      <c r="C14" s="27">
        <v>1933</v>
      </c>
      <c r="D14" s="27">
        <v>1970</v>
      </c>
      <c r="E14" s="27">
        <v>2117</v>
      </c>
      <c r="F14" s="27">
        <v>1945</v>
      </c>
      <c r="G14" s="27">
        <v>1575</v>
      </c>
      <c r="H14" s="27">
        <v>1741</v>
      </c>
      <c r="I14" s="27">
        <v>1901</v>
      </c>
      <c r="J14" s="27">
        <v>2014</v>
      </c>
      <c r="K14" s="27">
        <v>1669</v>
      </c>
      <c r="L14" s="27">
        <v>1894</v>
      </c>
      <c r="M14" s="27">
        <v>2443</v>
      </c>
      <c r="N14" s="27">
        <v>2636</v>
      </c>
      <c r="O14" s="28">
        <f t="shared" si="0"/>
        <v>23838</v>
      </c>
    </row>
    <row r="15" spans="1:15" s="5" customFormat="1" ht="22.5">
      <c r="A15"/>
      <c r="B15" s="19" t="s">
        <v>22</v>
      </c>
      <c r="C15" s="25">
        <f aca="true" t="shared" si="1" ref="C15:O15">SUM(C6:C14)</f>
        <v>63123</v>
      </c>
      <c r="D15" s="25">
        <f t="shared" si="1"/>
        <v>68671</v>
      </c>
      <c r="E15" s="25">
        <f t="shared" si="1"/>
        <v>73266</v>
      </c>
      <c r="F15" s="25">
        <f t="shared" si="1"/>
        <v>67809</v>
      </c>
      <c r="G15" s="25">
        <f t="shared" si="1"/>
        <v>59643</v>
      </c>
      <c r="H15" s="25">
        <f t="shared" si="1"/>
        <v>66815</v>
      </c>
      <c r="I15" s="25">
        <f t="shared" si="1"/>
        <v>67382</v>
      </c>
      <c r="J15" s="25">
        <f t="shared" si="1"/>
        <v>70602</v>
      </c>
      <c r="K15" s="25">
        <f t="shared" si="1"/>
        <v>71265</v>
      </c>
      <c r="L15" s="25">
        <f t="shared" si="1"/>
        <v>64657</v>
      </c>
      <c r="M15" s="25">
        <f t="shared" si="1"/>
        <v>75026</v>
      </c>
      <c r="N15" s="25">
        <f t="shared" si="1"/>
        <v>106584</v>
      </c>
      <c r="O15" s="25">
        <f t="shared" si="1"/>
        <v>854843</v>
      </c>
    </row>
    <row r="16" spans="1:15" s="2" customFormat="1" ht="12.75">
      <c r="A16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2" customFormat="1" ht="14.25">
      <c r="A17"/>
      <c r="B17" s="53" t="s">
        <v>55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s="2" customFormat="1" ht="14.25">
      <c r="A18"/>
      <c r="B18" s="53" t="s">
        <v>65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14"/>
    </row>
    <row r="19" spans="1:15" s="2" customFormat="1" ht="12.75">
      <c r="A19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5" customFormat="1" ht="63.75">
      <c r="A20"/>
      <c r="B20" s="15" t="s">
        <v>69</v>
      </c>
      <c r="C20" s="24" t="s">
        <v>16</v>
      </c>
      <c r="D20" s="24" t="s">
        <v>17</v>
      </c>
      <c r="E20" s="24" t="s">
        <v>18</v>
      </c>
      <c r="F20" s="24" t="s">
        <v>21</v>
      </c>
      <c r="G20" s="24" t="s">
        <v>25</v>
      </c>
      <c r="H20" s="24" t="s">
        <v>26</v>
      </c>
      <c r="I20" s="24" t="s">
        <v>27</v>
      </c>
      <c r="J20" s="24" t="s">
        <v>28</v>
      </c>
      <c r="K20" s="24" t="s">
        <v>29</v>
      </c>
      <c r="L20" s="24" t="s">
        <v>30</v>
      </c>
      <c r="M20" s="24" t="s">
        <v>31</v>
      </c>
      <c r="N20" s="24" t="s">
        <v>32</v>
      </c>
      <c r="O20" s="24" t="s">
        <v>85</v>
      </c>
    </row>
    <row r="21" spans="1:15" s="5" customFormat="1" ht="22.5">
      <c r="A21"/>
      <c r="B21" s="19" t="s">
        <v>1</v>
      </c>
      <c r="C21" s="27">
        <v>590</v>
      </c>
      <c r="D21" s="27">
        <v>5697</v>
      </c>
      <c r="E21" s="27">
        <v>1219</v>
      </c>
      <c r="F21" s="27">
        <v>656</v>
      </c>
      <c r="G21" s="27">
        <v>1</v>
      </c>
      <c r="H21" s="27">
        <v>679</v>
      </c>
      <c r="I21" s="27">
        <v>1667</v>
      </c>
      <c r="J21" s="27">
        <v>906</v>
      </c>
      <c r="K21" s="27">
        <v>632</v>
      </c>
      <c r="L21" s="27">
        <v>1</v>
      </c>
      <c r="M21" s="27">
        <v>1542</v>
      </c>
      <c r="N21" s="27">
        <v>3</v>
      </c>
      <c r="O21" s="28">
        <f aca="true" t="shared" si="2" ref="O21:O29">SUM(C21:N21)</f>
        <v>13593</v>
      </c>
    </row>
    <row r="22" spans="1:15" s="5" customFormat="1" ht="22.5">
      <c r="A22"/>
      <c r="B22" s="19" t="s">
        <v>10</v>
      </c>
      <c r="C22" s="27">
        <v>531</v>
      </c>
      <c r="D22" s="27">
        <v>594</v>
      </c>
      <c r="E22" s="27">
        <v>432</v>
      </c>
      <c r="F22" s="27">
        <v>522</v>
      </c>
      <c r="G22" s="27">
        <v>632</v>
      </c>
      <c r="H22" s="27">
        <v>286</v>
      </c>
      <c r="I22" s="27">
        <v>310</v>
      </c>
      <c r="J22" s="27">
        <v>295</v>
      </c>
      <c r="K22" s="27">
        <v>461</v>
      </c>
      <c r="L22" s="27">
        <v>354</v>
      </c>
      <c r="M22" s="27">
        <v>523</v>
      </c>
      <c r="N22" s="27">
        <v>675</v>
      </c>
      <c r="O22" s="28">
        <f t="shared" si="2"/>
        <v>5615</v>
      </c>
    </row>
    <row r="23" spans="1:15" s="5" customFormat="1" ht="22.5">
      <c r="A23"/>
      <c r="B23" s="19" t="s">
        <v>11</v>
      </c>
      <c r="C23" s="27">
        <v>183</v>
      </c>
      <c r="D23" s="27">
        <v>276</v>
      </c>
      <c r="E23" s="27">
        <v>114</v>
      </c>
      <c r="F23" s="27">
        <v>124</v>
      </c>
      <c r="G23" s="27">
        <v>32</v>
      </c>
      <c r="H23" s="27">
        <v>135</v>
      </c>
      <c r="I23" s="27">
        <v>113</v>
      </c>
      <c r="J23" s="27">
        <v>53</v>
      </c>
      <c r="K23" s="27">
        <v>299</v>
      </c>
      <c r="L23" s="27">
        <v>114</v>
      </c>
      <c r="M23" s="27">
        <v>85</v>
      </c>
      <c r="N23" s="27">
        <v>452</v>
      </c>
      <c r="O23" s="28">
        <f t="shared" si="2"/>
        <v>1980</v>
      </c>
    </row>
    <row r="24" spans="1:15" s="1" customFormat="1" ht="22.5">
      <c r="A24"/>
      <c r="B24" s="19" t="s">
        <v>12</v>
      </c>
      <c r="C24" s="27">
        <v>457</v>
      </c>
      <c r="D24" s="27">
        <v>377</v>
      </c>
      <c r="E24" s="27">
        <v>550</v>
      </c>
      <c r="F24" s="27">
        <v>333</v>
      </c>
      <c r="G24" s="27">
        <v>265</v>
      </c>
      <c r="H24" s="27">
        <v>192</v>
      </c>
      <c r="I24" s="27">
        <v>72</v>
      </c>
      <c r="J24" s="27">
        <v>321</v>
      </c>
      <c r="K24" s="27">
        <v>472</v>
      </c>
      <c r="L24" s="27">
        <v>321</v>
      </c>
      <c r="M24" s="27">
        <v>205</v>
      </c>
      <c r="N24" s="27">
        <v>619</v>
      </c>
      <c r="O24" s="28">
        <f t="shared" si="2"/>
        <v>4184</v>
      </c>
    </row>
    <row r="25" spans="1:15" s="1" customFormat="1" ht="22.5">
      <c r="A25"/>
      <c r="B25" s="19" t="s">
        <v>5</v>
      </c>
      <c r="C25" s="27">
        <v>5</v>
      </c>
      <c r="D25" s="27">
        <v>1</v>
      </c>
      <c r="E25" s="27">
        <v>32</v>
      </c>
      <c r="F25" s="27">
        <v>36</v>
      </c>
      <c r="G25" s="27">
        <v>16</v>
      </c>
      <c r="H25" s="27">
        <v>67</v>
      </c>
      <c r="I25" s="27">
        <v>29</v>
      </c>
      <c r="J25" s="27">
        <v>20</v>
      </c>
      <c r="K25" s="27">
        <v>19</v>
      </c>
      <c r="L25" s="27">
        <v>20</v>
      </c>
      <c r="M25" s="27">
        <v>27</v>
      </c>
      <c r="N25" s="27">
        <v>45</v>
      </c>
      <c r="O25" s="28">
        <f t="shared" si="2"/>
        <v>317</v>
      </c>
    </row>
    <row r="26" spans="1:15" s="1" customFormat="1" ht="22.5">
      <c r="A26"/>
      <c r="B26" s="19" t="s">
        <v>6</v>
      </c>
      <c r="C26" s="27">
        <v>5</v>
      </c>
      <c r="D26" s="27">
        <v>26</v>
      </c>
      <c r="E26" s="27">
        <v>3</v>
      </c>
      <c r="F26" s="27">
        <v>12</v>
      </c>
      <c r="G26" s="27">
        <v>4</v>
      </c>
      <c r="H26" s="27">
        <v>0</v>
      </c>
      <c r="I26" s="27">
        <v>7</v>
      </c>
      <c r="J26" s="27">
        <v>47</v>
      </c>
      <c r="K26" s="27">
        <v>18</v>
      </c>
      <c r="L26" s="27">
        <v>42</v>
      </c>
      <c r="M26" s="27">
        <v>32</v>
      </c>
      <c r="N26" s="27">
        <v>35</v>
      </c>
      <c r="O26" s="28">
        <f t="shared" si="2"/>
        <v>231</v>
      </c>
    </row>
    <row r="27" spans="1:15" s="1" customFormat="1" ht="22.5">
      <c r="A27"/>
      <c r="B27" s="19" t="s">
        <v>13</v>
      </c>
      <c r="C27" s="27">
        <v>25</v>
      </c>
      <c r="D27" s="27">
        <v>22</v>
      </c>
      <c r="E27" s="27">
        <v>149</v>
      </c>
      <c r="F27" s="27">
        <v>14</v>
      </c>
      <c r="G27" s="27">
        <v>9</v>
      </c>
      <c r="H27" s="27">
        <v>14</v>
      </c>
      <c r="I27" s="27">
        <v>37</v>
      </c>
      <c r="J27" s="27">
        <v>26</v>
      </c>
      <c r="K27" s="27">
        <v>21</v>
      </c>
      <c r="L27" s="27">
        <v>18</v>
      </c>
      <c r="M27" s="27">
        <v>55</v>
      </c>
      <c r="N27" s="27">
        <v>189</v>
      </c>
      <c r="O27" s="28">
        <f t="shared" si="2"/>
        <v>579</v>
      </c>
    </row>
    <row r="28" spans="1:15" s="1" customFormat="1" ht="22.5">
      <c r="A28"/>
      <c r="B28" s="19" t="s">
        <v>15</v>
      </c>
      <c r="C28" s="27">
        <v>50</v>
      </c>
      <c r="D28" s="27">
        <v>1843</v>
      </c>
      <c r="E28" s="27">
        <v>61</v>
      </c>
      <c r="F28" s="27">
        <v>46</v>
      </c>
      <c r="G28" s="27">
        <v>41</v>
      </c>
      <c r="H28" s="27">
        <v>53</v>
      </c>
      <c r="I28" s="27">
        <v>420</v>
      </c>
      <c r="J28" s="27">
        <v>473</v>
      </c>
      <c r="K28" s="27">
        <v>471</v>
      </c>
      <c r="L28" s="27">
        <v>101</v>
      </c>
      <c r="M28" s="27">
        <v>71</v>
      </c>
      <c r="N28" s="27">
        <v>218</v>
      </c>
      <c r="O28" s="28">
        <f t="shared" si="2"/>
        <v>3848</v>
      </c>
    </row>
    <row r="29" spans="1:15" s="1" customFormat="1" ht="22.5">
      <c r="A29"/>
      <c r="B29" s="19" t="s">
        <v>14</v>
      </c>
      <c r="C29" s="27">
        <v>22</v>
      </c>
      <c r="D29" s="27">
        <v>14</v>
      </c>
      <c r="E29" s="27">
        <v>6</v>
      </c>
      <c r="F29" s="27">
        <v>0</v>
      </c>
      <c r="G29" s="27">
        <v>19</v>
      </c>
      <c r="H29" s="27">
        <v>0</v>
      </c>
      <c r="I29" s="27">
        <v>0</v>
      </c>
      <c r="J29" s="27">
        <v>8</v>
      </c>
      <c r="K29" s="27">
        <v>0</v>
      </c>
      <c r="L29" s="27">
        <v>0</v>
      </c>
      <c r="M29" s="27">
        <v>10</v>
      </c>
      <c r="N29" s="27">
        <v>25</v>
      </c>
      <c r="O29" s="28">
        <f t="shared" si="2"/>
        <v>104</v>
      </c>
    </row>
    <row r="30" spans="1:15" s="1" customFormat="1" ht="22.5">
      <c r="A30"/>
      <c r="B30" s="19" t="s">
        <v>22</v>
      </c>
      <c r="C30" s="25">
        <f aca="true" t="shared" si="3" ref="C30:O30">SUM(C21:C29)</f>
        <v>1868</v>
      </c>
      <c r="D30" s="25">
        <f t="shared" si="3"/>
        <v>8850</v>
      </c>
      <c r="E30" s="25">
        <f t="shared" si="3"/>
        <v>2566</v>
      </c>
      <c r="F30" s="25">
        <f t="shared" si="3"/>
        <v>1743</v>
      </c>
      <c r="G30" s="25">
        <f t="shared" si="3"/>
        <v>1019</v>
      </c>
      <c r="H30" s="25">
        <f t="shared" si="3"/>
        <v>1426</v>
      </c>
      <c r="I30" s="25">
        <f t="shared" si="3"/>
        <v>2655</v>
      </c>
      <c r="J30" s="25">
        <f t="shared" si="3"/>
        <v>2149</v>
      </c>
      <c r="K30" s="25">
        <f t="shared" si="3"/>
        <v>2393</v>
      </c>
      <c r="L30" s="25">
        <f t="shared" si="3"/>
        <v>971</v>
      </c>
      <c r="M30" s="25">
        <f t="shared" si="3"/>
        <v>2550</v>
      </c>
      <c r="N30" s="25">
        <f t="shared" si="3"/>
        <v>2261</v>
      </c>
      <c r="O30" s="25">
        <f t="shared" si="3"/>
        <v>30451</v>
      </c>
    </row>
    <row r="32" spans="2:15" ht="12.75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2:15" ht="14.25">
      <c r="B33" s="53" t="s">
        <v>56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2:15" ht="14.25">
      <c r="B34" s="53" t="s">
        <v>66</v>
      </c>
      <c r="C34" s="53"/>
      <c r="D34" s="53"/>
      <c r="E34" s="53"/>
      <c r="F34" s="53"/>
      <c r="G34" s="53"/>
      <c r="H34" s="53"/>
      <c r="I34" s="53"/>
      <c r="J34" s="53"/>
      <c r="K34" s="53"/>
      <c r="L34" s="14"/>
      <c r="M34" s="14"/>
      <c r="N34" s="14"/>
      <c r="O34" s="14"/>
    </row>
    <row r="35" spans="2:15" ht="14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ht="63.75">
      <c r="B36" s="15" t="s">
        <v>69</v>
      </c>
      <c r="C36" s="24" t="s">
        <v>16</v>
      </c>
      <c r="D36" s="24" t="s">
        <v>17</v>
      </c>
      <c r="E36" s="24" t="s">
        <v>18</v>
      </c>
      <c r="F36" s="24" t="s">
        <v>21</v>
      </c>
      <c r="G36" s="24" t="s">
        <v>25</v>
      </c>
      <c r="H36" s="24" t="s">
        <v>26</v>
      </c>
      <c r="I36" s="24" t="s">
        <v>27</v>
      </c>
      <c r="J36" s="24" t="s">
        <v>28</v>
      </c>
      <c r="K36" s="24" t="s">
        <v>29</v>
      </c>
      <c r="L36" s="24" t="s">
        <v>30</v>
      </c>
      <c r="M36" s="24" t="s">
        <v>31</v>
      </c>
      <c r="N36" s="24" t="s">
        <v>32</v>
      </c>
      <c r="O36" s="24" t="s">
        <v>85</v>
      </c>
    </row>
    <row r="37" spans="2:15" ht="22.5">
      <c r="B37" s="19" t="s">
        <v>1</v>
      </c>
      <c r="C37" s="26">
        <v>13438</v>
      </c>
      <c r="D37" s="26">
        <v>17597</v>
      </c>
      <c r="E37" s="26">
        <v>16072</v>
      </c>
      <c r="F37" s="26">
        <v>12664</v>
      </c>
      <c r="G37" s="26">
        <v>13159</v>
      </c>
      <c r="H37" s="26">
        <v>12474</v>
      </c>
      <c r="I37" s="26">
        <v>11672</v>
      </c>
      <c r="J37" s="26">
        <v>16653</v>
      </c>
      <c r="K37" s="26">
        <v>12551</v>
      </c>
      <c r="L37" s="26">
        <v>13456</v>
      </c>
      <c r="M37" s="26">
        <v>15934</v>
      </c>
      <c r="N37" s="26">
        <v>23721</v>
      </c>
      <c r="O37" s="30">
        <f aca="true" t="shared" si="4" ref="O37:O45">SUM(C37:N37)</f>
        <v>179391</v>
      </c>
    </row>
    <row r="38" spans="2:15" ht="22.5">
      <c r="B38" s="19" t="s">
        <v>2</v>
      </c>
      <c r="C38" s="26">
        <v>10598</v>
      </c>
      <c r="D38" s="26">
        <v>10755</v>
      </c>
      <c r="E38" s="26">
        <v>12908</v>
      </c>
      <c r="F38" s="26">
        <v>11471</v>
      </c>
      <c r="G38" s="26">
        <v>9646</v>
      </c>
      <c r="H38" s="26">
        <v>14943</v>
      </c>
      <c r="I38" s="26">
        <v>8981</v>
      </c>
      <c r="J38" s="26">
        <v>15125</v>
      </c>
      <c r="K38" s="36">
        <v>17025</v>
      </c>
      <c r="L38" s="26">
        <v>12198</v>
      </c>
      <c r="M38" s="26">
        <v>14609</v>
      </c>
      <c r="N38" s="26">
        <v>14796</v>
      </c>
      <c r="O38" s="30">
        <f t="shared" si="4"/>
        <v>153055</v>
      </c>
    </row>
    <row r="39" spans="2:15" ht="22.5">
      <c r="B39" s="19" t="s">
        <v>3</v>
      </c>
      <c r="C39" s="26">
        <v>5103</v>
      </c>
      <c r="D39" s="26">
        <v>5196</v>
      </c>
      <c r="E39" s="26">
        <v>5858</v>
      </c>
      <c r="F39" s="26">
        <v>5626</v>
      </c>
      <c r="G39" s="26">
        <v>4403</v>
      </c>
      <c r="H39" s="26">
        <v>5086</v>
      </c>
      <c r="I39" s="26">
        <v>5045</v>
      </c>
      <c r="J39" s="26">
        <v>5577</v>
      </c>
      <c r="K39" s="26">
        <v>4561</v>
      </c>
      <c r="L39" s="26">
        <v>5030</v>
      </c>
      <c r="M39" s="26">
        <v>4937</v>
      </c>
      <c r="N39" s="26">
        <v>8421</v>
      </c>
      <c r="O39" s="30">
        <f t="shared" si="4"/>
        <v>64843</v>
      </c>
    </row>
    <row r="40" spans="2:15" ht="22.5">
      <c r="B40" s="19" t="s">
        <v>4</v>
      </c>
      <c r="C40" s="26">
        <v>8785</v>
      </c>
      <c r="D40" s="26">
        <v>7832</v>
      </c>
      <c r="E40" s="26">
        <v>10543</v>
      </c>
      <c r="F40" s="26">
        <v>9412</v>
      </c>
      <c r="G40" s="26">
        <v>8153</v>
      </c>
      <c r="H40" s="26">
        <v>7714</v>
      </c>
      <c r="I40" s="26">
        <v>8543</v>
      </c>
      <c r="J40" s="26">
        <v>8645</v>
      </c>
      <c r="K40" s="26">
        <v>10967</v>
      </c>
      <c r="L40" s="26">
        <v>10619</v>
      </c>
      <c r="M40" s="26">
        <v>9360</v>
      </c>
      <c r="N40" s="37">
        <v>13687</v>
      </c>
      <c r="O40" s="30">
        <f t="shared" si="4"/>
        <v>114260</v>
      </c>
    </row>
    <row r="41" spans="2:15" ht="22.5">
      <c r="B41" s="19" t="s">
        <v>5</v>
      </c>
      <c r="C41" s="26">
        <v>1391</v>
      </c>
      <c r="D41" s="26">
        <v>1626</v>
      </c>
      <c r="E41" s="26">
        <v>1932</v>
      </c>
      <c r="F41" s="26">
        <v>2688</v>
      </c>
      <c r="G41" s="26">
        <v>1959</v>
      </c>
      <c r="H41" s="26">
        <v>1283</v>
      </c>
      <c r="I41" s="26">
        <v>1747</v>
      </c>
      <c r="J41" s="26">
        <v>1679</v>
      </c>
      <c r="K41" s="26">
        <v>1786</v>
      </c>
      <c r="L41" s="26">
        <v>1786</v>
      </c>
      <c r="M41" s="26">
        <v>1979</v>
      </c>
      <c r="N41" s="26">
        <v>2575</v>
      </c>
      <c r="O41" s="30">
        <f t="shared" si="4"/>
        <v>22431</v>
      </c>
    </row>
    <row r="42" spans="2:15" ht="22.5">
      <c r="B42" s="19" t="s">
        <v>6</v>
      </c>
      <c r="C42" s="26">
        <v>2507</v>
      </c>
      <c r="D42" s="26">
        <v>2792</v>
      </c>
      <c r="E42" s="26">
        <v>2321</v>
      </c>
      <c r="F42" s="26">
        <v>2206</v>
      </c>
      <c r="G42" s="26">
        <v>2122</v>
      </c>
      <c r="H42" s="26">
        <v>2357</v>
      </c>
      <c r="I42" s="26">
        <v>2023</v>
      </c>
      <c r="J42" s="26">
        <v>2452</v>
      </c>
      <c r="K42" s="26">
        <v>2199</v>
      </c>
      <c r="L42" s="26">
        <v>2416</v>
      </c>
      <c r="M42" s="26">
        <v>2412</v>
      </c>
      <c r="N42" s="26">
        <v>3129</v>
      </c>
      <c r="O42" s="30">
        <f>SUM(C42:N42)</f>
        <v>28936</v>
      </c>
    </row>
    <row r="43" spans="2:15" ht="22.5">
      <c r="B43" s="19" t="s">
        <v>7</v>
      </c>
      <c r="C43" s="26">
        <v>1536</v>
      </c>
      <c r="D43" s="26">
        <v>2262</v>
      </c>
      <c r="E43" s="26">
        <v>2723</v>
      </c>
      <c r="F43" s="26">
        <v>3070</v>
      </c>
      <c r="G43" s="26">
        <v>1222</v>
      </c>
      <c r="H43" s="26">
        <v>1626</v>
      </c>
      <c r="I43" s="26">
        <v>2562</v>
      </c>
      <c r="J43" s="26">
        <v>1965</v>
      </c>
      <c r="K43" s="26">
        <v>2325</v>
      </c>
      <c r="L43" s="26">
        <v>1889</v>
      </c>
      <c r="M43" s="26">
        <v>3828</v>
      </c>
      <c r="N43" s="26">
        <v>2172</v>
      </c>
      <c r="O43" s="30">
        <f t="shared" si="4"/>
        <v>27180</v>
      </c>
    </row>
    <row r="44" spans="2:15" ht="22.5">
      <c r="B44" s="19" t="s">
        <v>8</v>
      </c>
      <c r="C44" s="26">
        <v>3782</v>
      </c>
      <c r="D44" s="26">
        <v>6664</v>
      </c>
      <c r="E44" s="26">
        <v>4173</v>
      </c>
      <c r="F44" s="26">
        <v>3477</v>
      </c>
      <c r="G44" s="26">
        <v>3729</v>
      </c>
      <c r="H44" s="26">
        <v>3327</v>
      </c>
      <c r="I44" s="26">
        <v>4532</v>
      </c>
      <c r="J44" s="26">
        <v>4603</v>
      </c>
      <c r="K44" s="26">
        <v>3893</v>
      </c>
      <c r="L44" s="26">
        <v>3073</v>
      </c>
      <c r="M44" s="26">
        <v>3336</v>
      </c>
      <c r="N44" s="26">
        <v>6599</v>
      </c>
      <c r="O44" s="30">
        <f t="shared" si="4"/>
        <v>51188</v>
      </c>
    </row>
    <row r="45" spans="2:15" ht="22.5">
      <c r="B45" s="19" t="s">
        <v>9</v>
      </c>
      <c r="C45" s="26">
        <v>1429</v>
      </c>
      <c r="D45" s="26">
        <v>1542</v>
      </c>
      <c r="E45" s="26">
        <v>1636</v>
      </c>
      <c r="F45" s="26">
        <v>0.918</v>
      </c>
      <c r="G45" s="26">
        <v>1305</v>
      </c>
      <c r="H45" s="26">
        <v>1384</v>
      </c>
      <c r="I45" s="26">
        <v>1387</v>
      </c>
      <c r="J45" s="26">
        <v>1653</v>
      </c>
      <c r="K45" s="26">
        <v>1388</v>
      </c>
      <c r="L45" s="26">
        <v>1481</v>
      </c>
      <c r="M45" s="26">
        <v>2086</v>
      </c>
      <c r="N45" s="26">
        <v>1959</v>
      </c>
      <c r="O45" s="30">
        <f t="shared" si="4"/>
        <v>17250.917999999998</v>
      </c>
    </row>
    <row r="46" spans="2:15" ht="22.5">
      <c r="B46" s="19" t="s">
        <v>22</v>
      </c>
      <c r="C46" s="25">
        <f aca="true" t="shared" si="5" ref="C46:O46">SUM(C37:C45)</f>
        <v>48569</v>
      </c>
      <c r="D46" s="25">
        <f t="shared" si="5"/>
        <v>56266</v>
      </c>
      <c r="E46" s="25">
        <f t="shared" si="5"/>
        <v>58166</v>
      </c>
      <c r="F46" s="25">
        <f t="shared" si="5"/>
        <v>50614.918</v>
      </c>
      <c r="G46" s="25">
        <f t="shared" si="5"/>
        <v>45698</v>
      </c>
      <c r="H46" s="25">
        <f t="shared" si="5"/>
        <v>50194</v>
      </c>
      <c r="I46" s="25">
        <f t="shared" si="5"/>
        <v>46492</v>
      </c>
      <c r="J46" s="25">
        <f t="shared" si="5"/>
        <v>58352</v>
      </c>
      <c r="K46" s="25">
        <f t="shared" si="5"/>
        <v>56695</v>
      </c>
      <c r="L46" s="25">
        <f t="shared" si="5"/>
        <v>51948</v>
      </c>
      <c r="M46" s="25">
        <f t="shared" si="5"/>
        <v>58481</v>
      </c>
      <c r="N46" s="25">
        <f t="shared" si="5"/>
        <v>77059</v>
      </c>
      <c r="O46" s="25">
        <f t="shared" si="5"/>
        <v>658534.918</v>
      </c>
    </row>
    <row r="47" spans="2:15" ht="12.7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2:15" ht="14.25">
      <c r="B48" s="53" t="s">
        <v>57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2:15" ht="14.25">
      <c r="B49" s="53" t="s">
        <v>68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14"/>
      <c r="O49" s="14"/>
    </row>
    <row r="50" spans="2:15" ht="12.75"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2:15" ht="63.75">
      <c r="B51" s="15" t="s">
        <v>69</v>
      </c>
      <c r="C51" s="24" t="s">
        <v>16</v>
      </c>
      <c r="D51" s="24" t="s">
        <v>17</v>
      </c>
      <c r="E51" s="24" t="s">
        <v>18</v>
      </c>
      <c r="F51" s="24" t="s">
        <v>21</v>
      </c>
      <c r="G51" s="24" t="s">
        <v>25</v>
      </c>
      <c r="H51" s="24" t="s">
        <v>26</v>
      </c>
      <c r="I51" s="24" t="s">
        <v>27</v>
      </c>
      <c r="J51" s="24" t="s">
        <v>28</v>
      </c>
      <c r="K51" s="24" t="s">
        <v>29</v>
      </c>
      <c r="L51" s="24" t="s">
        <v>30</v>
      </c>
      <c r="M51" s="24" t="s">
        <v>31</v>
      </c>
      <c r="N51" s="24" t="s">
        <v>32</v>
      </c>
      <c r="O51" s="24" t="s">
        <v>85</v>
      </c>
    </row>
    <row r="52" spans="2:15" ht="22.5">
      <c r="B52" s="19" t="s">
        <v>1</v>
      </c>
      <c r="C52" s="27">
        <v>820</v>
      </c>
      <c r="D52" s="27">
        <v>944</v>
      </c>
      <c r="E52" s="27">
        <v>964</v>
      </c>
      <c r="F52" s="27">
        <v>777</v>
      </c>
      <c r="G52" s="27">
        <v>755</v>
      </c>
      <c r="H52" s="27">
        <v>833</v>
      </c>
      <c r="I52" s="27">
        <v>665</v>
      </c>
      <c r="J52" s="27">
        <v>855</v>
      </c>
      <c r="K52" s="27">
        <v>772</v>
      </c>
      <c r="L52" s="27">
        <v>721</v>
      </c>
      <c r="M52" s="27">
        <v>1000</v>
      </c>
      <c r="N52" s="27">
        <v>2000</v>
      </c>
      <c r="O52" s="28">
        <f aca="true" t="shared" si="6" ref="O52:O60">SUM(C52:N52)</f>
        <v>11106</v>
      </c>
    </row>
    <row r="53" spans="2:15" ht="22.5">
      <c r="B53" s="19" t="s">
        <v>10</v>
      </c>
      <c r="C53" s="27">
        <v>637</v>
      </c>
      <c r="D53" s="27">
        <v>612</v>
      </c>
      <c r="E53" s="27">
        <v>757</v>
      </c>
      <c r="F53" s="27">
        <v>657</v>
      </c>
      <c r="G53" s="27">
        <v>618</v>
      </c>
      <c r="H53" s="27">
        <v>834</v>
      </c>
      <c r="I53" s="27">
        <v>965</v>
      </c>
      <c r="J53" s="27">
        <v>859</v>
      </c>
      <c r="K53" s="27">
        <v>970</v>
      </c>
      <c r="L53" s="27">
        <v>690</v>
      </c>
      <c r="M53" s="27">
        <v>836</v>
      </c>
      <c r="N53" s="27">
        <v>925</v>
      </c>
      <c r="O53" s="28">
        <f t="shared" si="6"/>
        <v>9360</v>
      </c>
    </row>
    <row r="54" spans="2:15" ht="22.5">
      <c r="B54" s="19" t="s">
        <v>11</v>
      </c>
      <c r="C54" s="27">
        <v>321</v>
      </c>
      <c r="D54" s="27">
        <v>308</v>
      </c>
      <c r="E54" s="27">
        <v>329</v>
      </c>
      <c r="F54" s="27">
        <v>251</v>
      </c>
      <c r="G54" s="27">
        <v>273</v>
      </c>
      <c r="H54" s="27">
        <v>308</v>
      </c>
      <c r="I54" s="27">
        <v>279</v>
      </c>
      <c r="J54" s="27">
        <v>343</v>
      </c>
      <c r="K54" s="27">
        <v>268</v>
      </c>
      <c r="L54" s="27">
        <v>309</v>
      </c>
      <c r="M54" s="27">
        <v>314</v>
      </c>
      <c r="N54" s="27">
        <v>504</v>
      </c>
      <c r="O54" s="28">
        <f t="shared" si="6"/>
        <v>3807</v>
      </c>
    </row>
    <row r="55" spans="2:15" ht="22.5">
      <c r="B55" s="19" t="s">
        <v>12</v>
      </c>
      <c r="C55" s="27">
        <v>529</v>
      </c>
      <c r="D55" s="27">
        <v>496</v>
      </c>
      <c r="E55" s="27">
        <v>612</v>
      </c>
      <c r="F55" s="27">
        <v>566</v>
      </c>
      <c r="G55" s="27">
        <v>521</v>
      </c>
      <c r="H55" s="27">
        <v>542</v>
      </c>
      <c r="I55" s="27">
        <v>490</v>
      </c>
      <c r="J55" s="27">
        <v>531</v>
      </c>
      <c r="K55" s="27">
        <v>629</v>
      </c>
      <c r="L55" s="27">
        <v>663</v>
      </c>
      <c r="M55" s="27">
        <v>585</v>
      </c>
      <c r="N55" s="38">
        <v>906</v>
      </c>
      <c r="O55" s="28">
        <f t="shared" si="6"/>
        <v>7070</v>
      </c>
    </row>
    <row r="56" spans="2:15" ht="22.5">
      <c r="B56" s="19" t="s">
        <v>5</v>
      </c>
      <c r="C56" s="27">
        <v>81</v>
      </c>
      <c r="D56" s="27">
        <v>98</v>
      </c>
      <c r="E56" s="27">
        <v>111</v>
      </c>
      <c r="F56" s="27">
        <v>142</v>
      </c>
      <c r="G56" s="27">
        <v>109</v>
      </c>
      <c r="H56" s="27">
        <v>84</v>
      </c>
      <c r="I56" s="27">
        <v>97</v>
      </c>
      <c r="J56" s="27">
        <v>94</v>
      </c>
      <c r="K56" s="27">
        <v>105</v>
      </c>
      <c r="L56" s="27">
        <v>112</v>
      </c>
      <c r="M56" s="27">
        <v>109</v>
      </c>
      <c r="N56" s="27">
        <v>153</v>
      </c>
      <c r="O56" s="28">
        <f t="shared" si="6"/>
        <v>1295</v>
      </c>
    </row>
    <row r="57" spans="2:15" ht="22.5">
      <c r="B57" s="19" t="s">
        <v>6</v>
      </c>
      <c r="C57" s="27">
        <v>134</v>
      </c>
      <c r="D57" s="27">
        <v>165</v>
      </c>
      <c r="E57" s="27">
        <v>129</v>
      </c>
      <c r="F57" s="27">
        <v>140</v>
      </c>
      <c r="G57" s="27">
        <v>121</v>
      </c>
      <c r="H57" s="27">
        <v>139</v>
      </c>
      <c r="I57" s="27">
        <v>125</v>
      </c>
      <c r="J57" s="27">
        <v>137</v>
      </c>
      <c r="K57" s="27">
        <v>126</v>
      </c>
      <c r="L57" s="27">
        <v>137</v>
      </c>
      <c r="M57" s="27">
        <v>139</v>
      </c>
      <c r="N57" s="27">
        <v>196</v>
      </c>
      <c r="O57" s="28">
        <f>SUM(C57:N57)</f>
        <v>1688</v>
      </c>
    </row>
    <row r="58" spans="2:15" ht="22.5">
      <c r="B58" s="19" t="s">
        <v>13</v>
      </c>
      <c r="C58" s="27">
        <v>93</v>
      </c>
      <c r="D58" s="27">
        <v>127</v>
      </c>
      <c r="E58" s="40">
        <v>162</v>
      </c>
      <c r="F58" s="27">
        <v>184</v>
      </c>
      <c r="G58" s="27">
        <v>76</v>
      </c>
      <c r="H58" s="27">
        <v>97</v>
      </c>
      <c r="I58" s="27">
        <v>146</v>
      </c>
      <c r="J58" s="27">
        <v>122</v>
      </c>
      <c r="K58" s="27">
        <v>147</v>
      </c>
      <c r="L58" s="27">
        <v>106</v>
      </c>
      <c r="M58" s="27">
        <v>208</v>
      </c>
      <c r="N58" s="27">
        <v>132</v>
      </c>
      <c r="O58" s="28">
        <f t="shared" si="6"/>
        <v>1600</v>
      </c>
    </row>
    <row r="59" spans="2:15" ht="22.5">
      <c r="B59" s="19" t="s">
        <v>15</v>
      </c>
      <c r="C59" s="27">
        <v>235</v>
      </c>
      <c r="D59" s="27">
        <v>247</v>
      </c>
      <c r="E59" s="27">
        <v>236</v>
      </c>
      <c r="F59" s="27">
        <v>215</v>
      </c>
      <c r="G59" s="27">
        <v>234</v>
      </c>
      <c r="H59" s="27">
        <v>196</v>
      </c>
      <c r="I59" s="27">
        <v>286</v>
      </c>
      <c r="J59" s="27">
        <v>252</v>
      </c>
      <c r="K59" s="27">
        <v>233</v>
      </c>
      <c r="L59" s="27">
        <v>180</v>
      </c>
      <c r="M59" s="27">
        <v>188</v>
      </c>
      <c r="N59" s="27">
        <v>404</v>
      </c>
      <c r="O59" s="28">
        <f t="shared" si="6"/>
        <v>2906</v>
      </c>
    </row>
    <row r="60" spans="2:15" ht="22.5">
      <c r="B60" s="19" t="s">
        <v>14</v>
      </c>
      <c r="C60" s="27">
        <v>89</v>
      </c>
      <c r="D60" s="27">
        <v>90</v>
      </c>
      <c r="E60" s="27">
        <v>98</v>
      </c>
      <c r="F60" s="27">
        <v>89</v>
      </c>
      <c r="G60" s="27">
        <v>72</v>
      </c>
      <c r="H60" s="27">
        <v>80</v>
      </c>
      <c r="I60" s="27">
        <v>88</v>
      </c>
      <c r="J60" s="27">
        <v>92</v>
      </c>
      <c r="K60" s="27">
        <v>76</v>
      </c>
      <c r="L60" s="27">
        <v>87</v>
      </c>
      <c r="M60" s="27">
        <v>112</v>
      </c>
      <c r="N60" s="27">
        <v>121</v>
      </c>
      <c r="O60" s="28">
        <f t="shared" si="6"/>
        <v>1094</v>
      </c>
    </row>
    <row r="61" spans="2:15" ht="22.5">
      <c r="B61" s="19" t="s">
        <v>22</v>
      </c>
      <c r="C61" s="25">
        <f>SUM(C52:C60)</f>
        <v>2939</v>
      </c>
      <c r="D61" s="25">
        <f aca="true" t="shared" si="7" ref="D61:O61">SUM(D52:D60)</f>
        <v>3087</v>
      </c>
      <c r="E61" s="25">
        <f t="shared" si="7"/>
        <v>3398</v>
      </c>
      <c r="F61" s="25">
        <f t="shared" si="7"/>
        <v>3021</v>
      </c>
      <c r="G61" s="25">
        <f t="shared" si="7"/>
        <v>2779</v>
      </c>
      <c r="H61" s="25">
        <f t="shared" si="7"/>
        <v>3113</v>
      </c>
      <c r="I61" s="25">
        <f t="shared" si="7"/>
        <v>3141</v>
      </c>
      <c r="J61" s="25">
        <f t="shared" si="7"/>
        <v>3285</v>
      </c>
      <c r="K61" s="25">
        <f t="shared" si="7"/>
        <v>3326</v>
      </c>
      <c r="L61" s="25">
        <f t="shared" si="7"/>
        <v>3005</v>
      </c>
      <c r="M61" s="25">
        <f t="shared" si="7"/>
        <v>3491</v>
      </c>
      <c r="N61" s="25">
        <f t="shared" si="7"/>
        <v>5341</v>
      </c>
      <c r="O61" s="25">
        <f t="shared" si="7"/>
        <v>39926</v>
      </c>
    </row>
    <row r="63" ht="12.75">
      <c r="B63" t="s">
        <v>83</v>
      </c>
    </row>
    <row r="64" spans="2:6" ht="12.75">
      <c r="B64" s="57" t="s">
        <v>84</v>
      </c>
      <c r="C64" s="57"/>
      <c r="D64" s="57"/>
      <c r="E64" s="57"/>
      <c r="F64" s="57"/>
    </row>
  </sheetData>
  <sheetProtection/>
  <mergeCells count="9">
    <mergeCell ref="B49:M49"/>
    <mergeCell ref="B64:F64"/>
    <mergeCell ref="B2:O2"/>
    <mergeCell ref="B17:O17"/>
    <mergeCell ref="B33:O33"/>
    <mergeCell ref="B48:O48"/>
    <mergeCell ref="B3:J3"/>
    <mergeCell ref="B18:N18"/>
    <mergeCell ref="B34:K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rightToLeft="1" workbookViewId="0" topLeftCell="A1">
      <selection activeCell="Q5" sqref="Q5"/>
    </sheetView>
  </sheetViews>
  <sheetFormatPr defaultColWidth="9.140625" defaultRowHeight="12.75"/>
  <cols>
    <col min="1" max="1" width="3.421875" style="0" customWidth="1"/>
    <col min="2" max="2" width="22.140625" style="0" customWidth="1"/>
    <col min="11" max="11" width="12.421875" style="0" customWidth="1"/>
  </cols>
  <sheetData>
    <row r="1" spans="1:2" s="4" customFormat="1" ht="9.75" customHeight="1">
      <c r="A1" s="6"/>
      <c r="B1" s="8"/>
    </row>
    <row r="2" spans="1:15" s="1" customFormat="1" ht="14.25">
      <c r="A2" s="3"/>
      <c r="B2" s="53" t="s">
        <v>58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" customFormat="1" ht="15" customHeight="1">
      <c r="A3" s="3"/>
      <c r="B3" s="53" t="s">
        <v>61</v>
      </c>
      <c r="C3" s="53"/>
      <c r="D3" s="53"/>
      <c r="E3" s="53"/>
      <c r="F3" s="53"/>
      <c r="G3" s="53"/>
      <c r="H3" s="53"/>
      <c r="I3" s="53"/>
      <c r="J3" s="53"/>
      <c r="K3" s="14"/>
      <c r="L3" s="14"/>
      <c r="M3" s="14"/>
      <c r="N3" s="14"/>
      <c r="O3" s="14"/>
    </row>
    <row r="4" spans="1:15" s="1" customFormat="1" ht="15" customHeight="1">
      <c r="A4" s="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1" customFormat="1" ht="74.25" customHeight="1">
      <c r="A5" s="3"/>
      <c r="B5" s="32" t="s">
        <v>33</v>
      </c>
      <c r="C5" s="24" t="s">
        <v>16</v>
      </c>
      <c r="D5" s="24" t="s">
        <v>17</v>
      </c>
      <c r="E5" s="24" t="s">
        <v>18</v>
      </c>
      <c r="F5" s="24" t="s">
        <v>21</v>
      </c>
      <c r="G5" s="24" t="s">
        <v>25</v>
      </c>
      <c r="H5" s="24" t="s">
        <v>26</v>
      </c>
      <c r="I5" s="24" t="s">
        <v>27</v>
      </c>
      <c r="J5" s="24" t="s">
        <v>28</v>
      </c>
      <c r="K5" s="24" t="s">
        <v>29</v>
      </c>
      <c r="L5" s="24" t="s">
        <v>30</v>
      </c>
      <c r="M5" s="24" t="s">
        <v>31</v>
      </c>
      <c r="N5" s="24" t="s">
        <v>32</v>
      </c>
      <c r="O5" s="24" t="s">
        <v>85</v>
      </c>
    </row>
    <row r="6" spans="1:15" s="7" customFormat="1" ht="22.5">
      <c r="A6"/>
      <c r="B6" s="59" t="s">
        <v>91</v>
      </c>
      <c r="C6" s="21">
        <f>26+0+114+0+0+0+0</f>
        <v>140</v>
      </c>
      <c r="D6" s="21">
        <f>28+7+268+0+0+0+0</f>
        <v>303</v>
      </c>
      <c r="E6" s="21">
        <f>22+0+183+0+0+0+0</f>
        <v>205</v>
      </c>
      <c r="F6" s="21">
        <f>23+12+160+0+1+0+0</f>
        <v>196</v>
      </c>
      <c r="G6" s="21">
        <f>32+3+159+0+0+0+0</f>
        <v>194</v>
      </c>
      <c r="H6" s="21">
        <f>23+13+108+1+0+0+1</f>
        <v>146</v>
      </c>
      <c r="I6" s="21">
        <f>24+0+76+0+0+0+0</f>
        <v>100</v>
      </c>
      <c r="J6" s="21">
        <f>23+0+153+0+0+0+0</f>
        <v>176</v>
      </c>
      <c r="K6" s="21">
        <f>34+157</f>
        <v>191</v>
      </c>
      <c r="L6" s="41">
        <f>38+0+182+2+2+0</f>
        <v>224</v>
      </c>
      <c r="M6" s="41">
        <f>33+178+0</f>
        <v>211</v>
      </c>
      <c r="N6" s="21">
        <f>59+182</f>
        <v>241</v>
      </c>
      <c r="O6" s="22">
        <f>SUM(C6:N6)</f>
        <v>2327</v>
      </c>
    </row>
    <row r="7" spans="1:15" s="5" customFormat="1" ht="22.5">
      <c r="A7"/>
      <c r="B7" s="62" t="s">
        <v>34</v>
      </c>
      <c r="C7" s="21">
        <v>6</v>
      </c>
      <c r="D7" s="21">
        <v>9</v>
      </c>
      <c r="E7" s="21">
        <v>9</v>
      </c>
      <c r="F7" s="21">
        <v>11</v>
      </c>
      <c r="G7" s="21">
        <v>9</v>
      </c>
      <c r="H7" s="21">
        <v>6</v>
      </c>
      <c r="I7" s="21">
        <v>8</v>
      </c>
      <c r="J7" s="21">
        <v>13</v>
      </c>
      <c r="K7" s="21">
        <v>11</v>
      </c>
      <c r="L7" s="41">
        <v>24</v>
      </c>
      <c r="M7" s="21">
        <v>15</v>
      </c>
      <c r="N7" s="21">
        <v>14</v>
      </c>
      <c r="O7" s="22">
        <f aca="true" t="shared" si="0" ref="O7:O12">SUM(C7:N7)</f>
        <v>135</v>
      </c>
    </row>
    <row r="8" spans="1:15" s="5" customFormat="1" ht="22.5">
      <c r="A8"/>
      <c r="B8" s="61" t="s">
        <v>35</v>
      </c>
      <c r="C8" s="21">
        <v>5</v>
      </c>
      <c r="D8" s="21">
        <v>2</v>
      </c>
      <c r="E8" s="21">
        <v>2</v>
      </c>
      <c r="F8" s="21">
        <v>3</v>
      </c>
      <c r="G8" s="21">
        <v>0</v>
      </c>
      <c r="H8" s="21">
        <v>2</v>
      </c>
      <c r="I8" s="21">
        <v>2</v>
      </c>
      <c r="J8" s="21">
        <v>0</v>
      </c>
      <c r="K8" s="21">
        <v>1</v>
      </c>
      <c r="L8" s="41">
        <v>2</v>
      </c>
      <c r="M8" s="21">
        <v>0</v>
      </c>
      <c r="N8" s="21">
        <v>1</v>
      </c>
      <c r="O8" s="22">
        <f t="shared" si="0"/>
        <v>20</v>
      </c>
    </row>
    <row r="9" spans="1:15" s="5" customFormat="1" ht="22.5">
      <c r="A9"/>
      <c r="B9" s="62" t="s">
        <v>36</v>
      </c>
      <c r="C9" s="21">
        <f>1+0+2</f>
        <v>3</v>
      </c>
      <c r="D9" s="21">
        <f>0+2+1</f>
        <v>3</v>
      </c>
      <c r="E9" s="21">
        <f>0+4+3</f>
        <v>7</v>
      </c>
      <c r="F9" s="21">
        <f>1+0+0</f>
        <v>1</v>
      </c>
      <c r="G9" s="21">
        <f>0+1+0</f>
        <v>1</v>
      </c>
      <c r="H9" s="21">
        <f>0+1</f>
        <v>1</v>
      </c>
      <c r="I9" s="21">
        <f>0</f>
        <v>0</v>
      </c>
      <c r="J9" s="21">
        <f>0+9+0</f>
        <v>9</v>
      </c>
      <c r="K9" s="21">
        <v>2</v>
      </c>
      <c r="L9" s="41">
        <v>2</v>
      </c>
      <c r="M9" s="21">
        <f>2</f>
        <v>2</v>
      </c>
      <c r="N9" s="21">
        <f>3</f>
        <v>3</v>
      </c>
      <c r="O9" s="22">
        <f t="shared" si="0"/>
        <v>34</v>
      </c>
    </row>
    <row r="10" spans="1:15" s="5" customFormat="1" ht="22.5">
      <c r="A10"/>
      <c r="B10" s="61" t="s">
        <v>37</v>
      </c>
      <c r="C10" s="21">
        <v>1</v>
      </c>
      <c r="D10" s="21">
        <v>2</v>
      </c>
      <c r="E10" s="21">
        <v>3</v>
      </c>
      <c r="F10" s="21">
        <v>0</v>
      </c>
      <c r="G10" s="21">
        <v>1</v>
      </c>
      <c r="H10" s="34">
        <v>1</v>
      </c>
      <c r="I10" s="34">
        <v>0</v>
      </c>
      <c r="J10" s="21">
        <v>0</v>
      </c>
      <c r="K10" s="34">
        <v>1</v>
      </c>
      <c r="L10" s="41">
        <v>0</v>
      </c>
      <c r="M10" s="21">
        <v>1</v>
      </c>
      <c r="N10" s="21">
        <v>3</v>
      </c>
      <c r="O10" s="22">
        <f t="shared" si="0"/>
        <v>13</v>
      </c>
    </row>
    <row r="11" spans="1:15" s="5" customFormat="1" ht="22.5">
      <c r="A11"/>
      <c r="B11" s="60" t="s">
        <v>38</v>
      </c>
      <c r="C11" s="21">
        <v>449</v>
      </c>
      <c r="D11" s="21">
        <v>676</v>
      </c>
      <c r="E11" s="21">
        <v>767</v>
      </c>
      <c r="F11" s="21">
        <v>556</v>
      </c>
      <c r="G11" s="21">
        <v>393</v>
      </c>
      <c r="H11" s="34">
        <v>620</v>
      </c>
      <c r="I11" s="34">
        <v>281</v>
      </c>
      <c r="J11" s="21">
        <v>515</v>
      </c>
      <c r="K11" s="34">
        <v>748</v>
      </c>
      <c r="L11" s="41">
        <v>858</v>
      </c>
      <c r="M11" s="21">
        <v>800</v>
      </c>
      <c r="N11" s="21">
        <v>936</v>
      </c>
      <c r="O11" s="22">
        <f t="shared" si="0"/>
        <v>7599</v>
      </c>
    </row>
    <row r="12" spans="1:15" s="5" customFormat="1" ht="23.25" thickBot="1">
      <c r="A12"/>
      <c r="B12" s="62" t="s">
        <v>39</v>
      </c>
      <c r="C12" s="21">
        <v>210</v>
      </c>
      <c r="D12" s="21">
        <v>415</v>
      </c>
      <c r="E12" s="21">
        <v>586</v>
      </c>
      <c r="F12" s="21">
        <v>319</v>
      </c>
      <c r="G12" s="21">
        <v>265</v>
      </c>
      <c r="H12" s="34">
        <v>410</v>
      </c>
      <c r="I12" s="34">
        <v>181</v>
      </c>
      <c r="J12" s="21">
        <v>316</v>
      </c>
      <c r="K12" s="34">
        <v>389</v>
      </c>
      <c r="L12" s="41">
        <v>583</v>
      </c>
      <c r="M12" s="21">
        <v>597</v>
      </c>
      <c r="N12" s="21">
        <v>624</v>
      </c>
      <c r="O12" s="22">
        <f t="shared" si="0"/>
        <v>4895</v>
      </c>
    </row>
    <row r="13" spans="1:15" s="5" customFormat="1" ht="22.5">
      <c r="A13"/>
      <c r="B13" s="65" t="s">
        <v>22</v>
      </c>
      <c r="C13" s="20">
        <f aca="true" t="shared" si="1" ref="C13:O13">SUM(C6:C12)</f>
        <v>814</v>
      </c>
      <c r="D13" s="20">
        <f t="shared" si="1"/>
        <v>1410</v>
      </c>
      <c r="E13" s="20">
        <f t="shared" si="1"/>
        <v>1579</v>
      </c>
      <c r="F13" s="20">
        <f t="shared" si="1"/>
        <v>1086</v>
      </c>
      <c r="G13" s="20">
        <f t="shared" si="1"/>
        <v>863</v>
      </c>
      <c r="H13" s="20">
        <f t="shared" si="1"/>
        <v>1186</v>
      </c>
      <c r="I13" s="20">
        <f t="shared" si="1"/>
        <v>572</v>
      </c>
      <c r="J13" s="20">
        <f t="shared" si="1"/>
        <v>1029</v>
      </c>
      <c r="K13" s="20">
        <f>SUM(K6:K12)</f>
        <v>1343</v>
      </c>
      <c r="L13" s="20">
        <f t="shared" si="1"/>
        <v>1693</v>
      </c>
      <c r="M13" s="20">
        <f t="shared" si="1"/>
        <v>1626</v>
      </c>
      <c r="N13" s="20">
        <f>SUM(N6:N12)</f>
        <v>1822</v>
      </c>
      <c r="O13" s="20">
        <f t="shared" si="1"/>
        <v>15023</v>
      </c>
    </row>
    <row r="14" spans="1:15" s="2" customFormat="1" ht="12.75">
      <c r="A14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s="1" customFormat="1" ht="15" customHeight="1">
      <c r="A15" s="3"/>
      <c r="B15" s="53" t="s">
        <v>59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5" s="1" customFormat="1" ht="15" customHeight="1">
      <c r="A16" s="3"/>
      <c r="B16" s="53" t="s">
        <v>62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14"/>
      <c r="N16" s="14"/>
      <c r="O16" s="14"/>
    </row>
    <row r="17" spans="2:15" ht="14.25">
      <c r="B17" s="14" t="s">
        <v>23</v>
      </c>
      <c r="C17" s="14"/>
      <c r="D17" s="14"/>
      <c r="E17" s="14"/>
      <c r="F17" s="54" t="s">
        <v>24</v>
      </c>
      <c r="G17" s="54"/>
      <c r="H17" s="54"/>
      <c r="I17" s="14"/>
      <c r="J17" s="14"/>
      <c r="K17" s="14"/>
      <c r="L17" s="14"/>
      <c r="M17" s="14"/>
      <c r="N17" s="14"/>
      <c r="O17" s="14"/>
    </row>
    <row r="18" spans="1:15" s="1" customFormat="1" ht="15" customHeight="1">
      <c r="A18" s="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s="1" customFormat="1" ht="74.25" customHeight="1">
      <c r="A19" s="3"/>
      <c r="B19" s="15" t="s">
        <v>33</v>
      </c>
      <c r="C19" s="24" t="s">
        <v>16</v>
      </c>
      <c r="D19" s="24" t="s">
        <v>17</v>
      </c>
      <c r="E19" s="24" t="s">
        <v>18</v>
      </c>
      <c r="F19" s="24" t="s">
        <v>21</v>
      </c>
      <c r="G19" s="24" t="s">
        <v>25</v>
      </c>
      <c r="H19" s="24" t="s">
        <v>26</v>
      </c>
      <c r="I19" s="24" t="s">
        <v>27</v>
      </c>
      <c r="J19" s="24" t="s">
        <v>28</v>
      </c>
      <c r="K19" s="24" t="s">
        <v>29</v>
      </c>
      <c r="L19" s="24" t="s">
        <v>30</v>
      </c>
      <c r="M19" s="24" t="s">
        <v>31</v>
      </c>
      <c r="N19" s="24" t="s">
        <v>32</v>
      </c>
      <c r="O19" s="24" t="s">
        <v>85</v>
      </c>
    </row>
    <row r="20" spans="1:15" s="7" customFormat="1" ht="22.5">
      <c r="A20"/>
      <c r="B20" s="59" t="s">
        <v>91</v>
      </c>
      <c r="C20" s="21">
        <v>5600</v>
      </c>
      <c r="D20" s="21">
        <v>16645</v>
      </c>
      <c r="E20" s="21">
        <v>9086</v>
      </c>
      <c r="F20" s="21">
        <v>7459</v>
      </c>
      <c r="G20" s="21">
        <v>4304</v>
      </c>
      <c r="H20" s="21">
        <v>8384</v>
      </c>
      <c r="I20" s="21">
        <v>4995</v>
      </c>
      <c r="J20" s="21">
        <v>4699</v>
      </c>
      <c r="K20" s="21">
        <v>15195</v>
      </c>
      <c r="L20" s="21">
        <v>10144</v>
      </c>
      <c r="M20" s="21">
        <v>16232</v>
      </c>
      <c r="N20" s="21">
        <v>11276</v>
      </c>
      <c r="O20" s="22">
        <f aca="true" t="shared" si="2" ref="O20:O26">SUM(C20:N20)</f>
        <v>114019</v>
      </c>
    </row>
    <row r="21" spans="1:15" s="5" customFormat="1" ht="22.5">
      <c r="A21"/>
      <c r="B21" s="61" t="s">
        <v>34</v>
      </c>
      <c r="C21" s="21">
        <v>5367</v>
      </c>
      <c r="D21" s="21">
        <v>2577</v>
      </c>
      <c r="E21" s="21">
        <v>4028</v>
      </c>
      <c r="F21" s="21">
        <v>100364</v>
      </c>
      <c r="G21" s="21">
        <v>603201</v>
      </c>
      <c r="H21" s="21">
        <v>8537</v>
      </c>
      <c r="I21" s="21">
        <v>3237</v>
      </c>
      <c r="J21" s="21">
        <v>3237</v>
      </c>
      <c r="K21" s="21">
        <v>949</v>
      </c>
      <c r="L21" s="21">
        <v>1835</v>
      </c>
      <c r="M21" s="21">
        <v>2087</v>
      </c>
      <c r="N21" s="21">
        <v>870</v>
      </c>
      <c r="O21" s="22">
        <f t="shared" si="2"/>
        <v>736289</v>
      </c>
    </row>
    <row r="22" spans="1:15" s="5" customFormat="1" ht="22.5">
      <c r="A22" s="63"/>
      <c r="B22" s="13" t="s">
        <v>35</v>
      </c>
      <c r="C22" s="21">
        <v>566</v>
      </c>
      <c r="D22" s="21">
        <v>105</v>
      </c>
      <c r="E22" s="21">
        <v>0</v>
      </c>
      <c r="F22" s="21">
        <v>0</v>
      </c>
      <c r="G22" s="21">
        <v>67860</v>
      </c>
      <c r="H22" s="21">
        <v>137000</v>
      </c>
      <c r="I22" s="21">
        <v>917000</v>
      </c>
      <c r="J22" s="21">
        <v>917000</v>
      </c>
      <c r="K22" s="21">
        <v>0</v>
      </c>
      <c r="L22" s="21">
        <v>0</v>
      </c>
      <c r="M22" s="21">
        <v>45240</v>
      </c>
      <c r="N22" s="21">
        <v>0</v>
      </c>
      <c r="O22" s="22">
        <f t="shared" si="2"/>
        <v>2084771</v>
      </c>
    </row>
    <row r="23" spans="1:15" s="5" customFormat="1" ht="22.5">
      <c r="A23"/>
      <c r="B23" s="61" t="s">
        <v>36</v>
      </c>
      <c r="C23" s="21">
        <v>464186</v>
      </c>
      <c r="D23" s="21">
        <v>958114</v>
      </c>
      <c r="E23" s="21">
        <v>669245</v>
      </c>
      <c r="F23" s="21">
        <v>518572</v>
      </c>
      <c r="G23" s="21">
        <v>43149</v>
      </c>
      <c r="H23" s="21">
        <v>716536</v>
      </c>
      <c r="I23" s="21">
        <v>338489</v>
      </c>
      <c r="J23" s="21">
        <v>365396</v>
      </c>
      <c r="K23" s="21">
        <v>923980</v>
      </c>
      <c r="L23" s="21">
        <v>682742</v>
      </c>
      <c r="M23" s="21">
        <v>1148</v>
      </c>
      <c r="N23" s="21">
        <v>805</v>
      </c>
      <c r="O23" s="22">
        <f t="shared" si="2"/>
        <v>5682362</v>
      </c>
    </row>
    <row r="24" spans="1:15" s="5" customFormat="1" ht="22.5">
      <c r="A24"/>
      <c r="B24" s="61" t="s">
        <v>37</v>
      </c>
      <c r="C24" s="34">
        <v>1</v>
      </c>
      <c r="D24" s="34">
        <v>2</v>
      </c>
      <c r="E24" s="34">
        <v>3</v>
      </c>
      <c r="F24" s="34">
        <v>0</v>
      </c>
      <c r="G24" s="34">
        <v>1</v>
      </c>
      <c r="H24" s="34">
        <v>1</v>
      </c>
      <c r="I24" s="34">
        <v>0</v>
      </c>
      <c r="J24" s="34">
        <v>0</v>
      </c>
      <c r="K24" s="34">
        <v>1</v>
      </c>
      <c r="L24" s="34">
        <v>0</v>
      </c>
      <c r="M24" s="34">
        <v>1</v>
      </c>
      <c r="N24" s="34">
        <v>3</v>
      </c>
      <c r="O24" s="22">
        <f t="shared" si="2"/>
        <v>13</v>
      </c>
    </row>
    <row r="25" spans="1:15" s="5" customFormat="1" ht="22.5">
      <c r="A25"/>
      <c r="B25" s="61" t="s">
        <v>38</v>
      </c>
      <c r="C25" s="34">
        <v>406140</v>
      </c>
      <c r="D25" s="34">
        <v>873183</v>
      </c>
      <c r="E25" s="34">
        <v>592790</v>
      </c>
      <c r="F25" s="34">
        <v>446309</v>
      </c>
      <c r="G25" s="34">
        <v>354995</v>
      </c>
      <c r="H25" s="34">
        <v>595166</v>
      </c>
      <c r="I25" s="34">
        <v>294702</v>
      </c>
      <c r="J25" s="34">
        <v>315916</v>
      </c>
      <c r="K25" s="34">
        <v>866595</v>
      </c>
      <c r="L25" s="34">
        <v>625083</v>
      </c>
      <c r="M25" s="34">
        <v>888758</v>
      </c>
      <c r="N25" s="34">
        <v>691762</v>
      </c>
      <c r="O25" s="22">
        <f t="shared" si="2"/>
        <v>6951399</v>
      </c>
    </row>
    <row r="26" spans="1:15" s="5" customFormat="1" ht="23.25" thickBot="1">
      <c r="A26"/>
      <c r="B26" s="64" t="s">
        <v>39</v>
      </c>
      <c r="C26" s="34">
        <v>18</v>
      </c>
      <c r="D26" s="34">
        <v>38</v>
      </c>
      <c r="E26" s="34">
        <v>22</v>
      </c>
      <c r="F26" s="34">
        <v>21</v>
      </c>
      <c r="G26" s="34">
        <v>14488</v>
      </c>
      <c r="H26" s="34">
        <v>106362</v>
      </c>
      <c r="I26" s="34">
        <v>13916</v>
      </c>
      <c r="J26" s="34">
        <v>316</v>
      </c>
      <c r="K26" s="34">
        <v>36367</v>
      </c>
      <c r="L26" s="34">
        <v>28851</v>
      </c>
      <c r="M26" s="34">
        <v>46682</v>
      </c>
      <c r="N26" s="34">
        <v>33015</v>
      </c>
      <c r="O26" s="22">
        <f t="shared" si="2"/>
        <v>280096</v>
      </c>
    </row>
    <row r="27" spans="1:15" s="5" customFormat="1" ht="22.5">
      <c r="A27"/>
      <c r="B27" s="33" t="s">
        <v>22</v>
      </c>
      <c r="C27" s="25">
        <f aca="true" t="shared" si="3" ref="C27:O27">SUM(C20:C26)</f>
        <v>881878</v>
      </c>
      <c r="D27" s="25">
        <f t="shared" si="3"/>
        <v>1850664</v>
      </c>
      <c r="E27" s="25">
        <f t="shared" si="3"/>
        <v>1275174</v>
      </c>
      <c r="F27" s="25">
        <f t="shared" si="3"/>
        <v>1072725</v>
      </c>
      <c r="G27" s="25">
        <f t="shared" si="3"/>
        <v>1087998</v>
      </c>
      <c r="H27" s="25">
        <f t="shared" si="3"/>
        <v>1571986</v>
      </c>
      <c r="I27" s="25">
        <f t="shared" si="3"/>
        <v>1572339</v>
      </c>
      <c r="J27" s="25">
        <f t="shared" si="3"/>
        <v>1606564</v>
      </c>
      <c r="K27" s="25">
        <f t="shared" si="3"/>
        <v>1843087</v>
      </c>
      <c r="L27" s="25">
        <f t="shared" si="3"/>
        <v>1348655</v>
      </c>
      <c r="M27" s="25">
        <f t="shared" si="3"/>
        <v>1000148</v>
      </c>
      <c r="N27" s="25">
        <f t="shared" si="3"/>
        <v>737731</v>
      </c>
      <c r="O27" s="25">
        <f t="shared" si="3"/>
        <v>15848949</v>
      </c>
    </row>
    <row r="29" ht="12.75">
      <c r="B29" t="s">
        <v>83</v>
      </c>
    </row>
    <row r="30" spans="2:6" ht="12.75">
      <c r="B30" s="57" t="s">
        <v>84</v>
      </c>
      <c r="C30" s="57"/>
      <c r="D30" s="57"/>
      <c r="E30" s="57"/>
      <c r="F30" s="57"/>
    </row>
  </sheetData>
  <sheetProtection/>
  <mergeCells count="6">
    <mergeCell ref="B2:O2"/>
    <mergeCell ref="B15:O15"/>
    <mergeCell ref="F17:H17"/>
    <mergeCell ref="B3:J3"/>
    <mergeCell ref="B16:L16"/>
    <mergeCell ref="B30:F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arahhal</cp:lastModifiedBy>
  <cp:lastPrinted>2009-02-24T09:49:48Z</cp:lastPrinted>
  <dcterms:created xsi:type="dcterms:W3CDTF">2006-02-24T09:38:25Z</dcterms:created>
  <dcterms:modified xsi:type="dcterms:W3CDTF">2017-06-17T09:03:53Z</dcterms:modified>
  <cp:category/>
  <cp:version/>
  <cp:contentType/>
  <cp:contentStatus/>
</cp:coreProperties>
</file>