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5480" windowHeight="9975" tabRatio="957"/>
  </bookViews>
  <sheets>
    <sheet name="الفهرس" sheetId="11" r:id="rId1"/>
    <sheet name="1-2" sheetId="12" r:id="rId2"/>
    <sheet name="3-" sheetId="13" r:id="rId3"/>
    <sheet name="4-5" sheetId="14" r:id="rId4"/>
    <sheet name="6-7" sheetId="15" r:id="rId5"/>
    <sheet name="8-9" sheetId="16" r:id="rId6"/>
    <sheet name="10" sheetId="17" r:id="rId7"/>
    <sheet name="11-12" sheetId="18" r:id="rId8"/>
    <sheet name="13-15" sheetId="20" r:id="rId9"/>
    <sheet name="16-19" sheetId="21" r:id="rId10"/>
    <sheet name="20-21" sheetId="22" r:id="rId11"/>
    <sheet name="22-24" sheetId="23" r:id="rId12"/>
    <sheet name="25-26" sheetId="25" r:id="rId13"/>
    <sheet name="27-28" sheetId="24" r:id="rId14"/>
    <sheet name="29-30" sheetId="28" r:id="rId15"/>
    <sheet name="31-32" sheetId="29" r:id="rId16"/>
    <sheet name="33-34" sheetId="26" r:id="rId17"/>
    <sheet name="35-39" sheetId="30" r:id="rId18"/>
    <sheet name="40-44" sheetId="31" r:id="rId19"/>
    <sheet name="45-47" sheetId="32" r:id="rId20"/>
  </sheets>
  <calcPr calcId="124519"/>
</workbook>
</file>

<file path=xl/calcChain.xml><?xml version="1.0" encoding="utf-8"?>
<calcChain xmlns="http://schemas.openxmlformats.org/spreadsheetml/2006/main">
  <c r="B59" i="32"/>
  <c r="B39"/>
  <c r="B19"/>
  <c r="B78" i="31"/>
  <c r="N38" s="1"/>
  <c r="M38"/>
  <c r="L38"/>
  <c r="K38"/>
  <c r="J38"/>
  <c r="I38"/>
  <c r="H38"/>
  <c r="G38"/>
  <c r="F38"/>
  <c r="E38"/>
  <c r="D38"/>
  <c r="C38"/>
  <c r="B38"/>
  <c r="N37"/>
  <c r="N36"/>
  <c r="N35"/>
  <c r="N34"/>
  <c r="N33"/>
  <c r="B90" i="30"/>
  <c r="N50" s="1"/>
  <c r="M50"/>
  <c r="L50"/>
  <c r="K50"/>
  <c r="J50"/>
  <c r="I50"/>
  <c r="H50"/>
  <c r="G50"/>
  <c r="F50"/>
  <c r="E50"/>
  <c r="D50"/>
  <c r="C50"/>
  <c r="B50"/>
  <c r="N49"/>
  <c r="N48"/>
  <c r="N47"/>
  <c r="N46"/>
  <c r="N45"/>
  <c r="N44"/>
  <c r="N43"/>
  <c r="N42"/>
  <c r="N41"/>
  <c r="K47" i="29"/>
  <c r="K22"/>
  <c r="H45" i="28"/>
  <c r="H21"/>
  <c r="G45" i="24"/>
  <c r="G21"/>
  <c r="G34" i="25"/>
  <c r="F34"/>
  <c r="E34"/>
  <c r="D34"/>
  <c r="C34"/>
  <c r="B34"/>
  <c r="G16"/>
  <c r="F16"/>
  <c r="E16"/>
  <c r="D16"/>
  <c r="C16"/>
  <c r="B16"/>
  <c r="K53" i="23" l="1"/>
  <c r="J53"/>
  <c r="I53"/>
  <c r="H53"/>
  <c r="G53"/>
  <c r="F53"/>
  <c r="E53"/>
  <c r="D53"/>
  <c r="C53"/>
  <c r="B53"/>
  <c r="K52"/>
  <c r="K51"/>
  <c r="K50"/>
  <c r="K49"/>
  <c r="K48"/>
  <c r="K47"/>
  <c r="K46"/>
  <c r="K45"/>
  <c r="K44"/>
  <c r="K43"/>
  <c r="K42"/>
  <c r="K41"/>
  <c r="K40"/>
  <c r="K34"/>
  <c r="J34"/>
  <c r="I34"/>
  <c r="H34"/>
  <c r="G34"/>
  <c r="F34"/>
  <c r="E34"/>
  <c r="D34"/>
  <c r="C34"/>
  <c r="B34"/>
  <c r="K38" i="20" s="1"/>
  <c r="J38"/>
  <c r="I38"/>
  <c r="H38"/>
  <c r="G38"/>
  <c r="F38"/>
  <c r="E38"/>
  <c r="D38"/>
  <c r="C38"/>
  <c r="B38"/>
  <c r="K37"/>
  <c r="K36"/>
  <c r="K35"/>
  <c r="K34"/>
  <c r="K33"/>
  <c r="B16"/>
  <c r="T158" i="1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77" s="1"/>
  <c r="N91" i="17"/>
  <c r="M91"/>
  <c r="L91"/>
  <c r="K91"/>
  <c r="J91"/>
  <c r="I91"/>
  <c r="H91"/>
  <c r="G91"/>
  <c r="F91"/>
  <c r="E91"/>
  <c r="D91"/>
  <c r="C91"/>
  <c r="B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M33" i="16" s="1"/>
  <c r="L33"/>
  <c r="K33"/>
  <c r="J33"/>
  <c r="I33"/>
  <c r="H33"/>
  <c r="G33"/>
  <c r="F33"/>
  <c r="E33"/>
  <c r="D33"/>
  <c r="C33"/>
  <c r="B33"/>
  <c r="M32"/>
  <c r="K32"/>
  <c r="J32"/>
  <c r="I32"/>
  <c r="G32"/>
  <c r="F32"/>
  <c r="E32"/>
  <c r="D32"/>
  <c r="C32"/>
  <c r="B32"/>
  <c r="M31"/>
  <c r="K31"/>
  <c r="J31"/>
  <c r="I31"/>
  <c r="G31"/>
  <c r="F31"/>
  <c r="E31"/>
  <c r="D31"/>
  <c r="C31"/>
  <c r="B31"/>
  <c r="M30"/>
  <c r="K30"/>
  <c r="J30"/>
  <c r="I30"/>
  <c r="G30"/>
  <c r="F30"/>
  <c r="E30"/>
  <c r="D30"/>
  <c r="C30"/>
  <c r="B30"/>
  <c r="M29"/>
  <c r="K29"/>
  <c r="J29"/>
  <c r="I29"/>
  <c r="G29"/>
  <c r="F29"/>
  <c r="E29"/>
  <c r="D29"/>
  <c r="C29"/>
  <c r="B29"/>
  <c r="M28"/>
  <c r="K28"/>
  <c r="J28"/>
  <c r="I28"/>
  <c r="G28"/>
  <c r="F28"/>
  <c r="E28"/>
  <c r="D28"/>
  <c r="C28"/>
  <c r="B28"/>
  <c r="M27"/>
  <c r="K27"/>
  <c r="J27"/>
  <c r="I27"/>
  <c r="G27"/>
  <c r="F27"/>
  <c r="E27"/>
  <c r="D27"/>
  <c r="C27"/>
  <c r="B27"/>
  <c r="M26"/>
  <c r="K26"/>
  <c r="I26"/>
  <c r="G26"/>
  <c r="F26"/>
  <c r="C26"/>
  <c r="B26"/>
  <c r="M25" s="1"/>
  <c r="K25"/>
  <c r="J25"/>
  <c r="I25"/>
  <c r="G25"/>
  <c r="F25"/>
  <c r="E25"/>
  <c r="D25"/>
  <c r="C25"/>
  <c r="B25"/>
  <c r="M24"/>
  <c r="K24"/>
  <c r="J24"/>
  <c r="I24"/>
  <c r="G24"/>
  <c r="F24"/>
  <c r="E24"/>
  <c r="D24"/>
  <c r="C24"/>
  <c r="B24"/>
  <c r="M23"/>
  <c r="K23"/>
  <c r="J23"/>
  <c r="I23"/>
  <c r="G23"/>
  <c r="F23"/>
  <c r="E23"/>
  <c r="D23"/>
  <c r="C23"/>
  <c r="B23"/>
  <c r="L16"/>
  <c r="K16"/>
  <c r="J16"/>
  <c r="I16"/>
  <c r="H16"/>
  <c r="G16"/>
  <c r="F16"/>
  <c r="E16"/>
  <c r="D16"/>
  <c r="C16"/>
  <c r="B16"/>
  <c r="L15"/>
  <c r="L14"/>
  <c r="L13"/>
  <c r="L12"/>
  <c r="L11"/>
  <c r="L10"/>
  <c r="L9"/>
  <c r="L8"/>
  <c r="L7"/>
  <c r="L6"/>
  <c r="H11" i="15"/>
  <c r="G11"/>
  <c r="F11"/>
  <c r="E11"/>
  <c r="D11"/>
  <c r="C11"/>
  <c r="B11"/>
  <c r="H10"/>
  <c r="H9"/>
  <c r="H8"/>
  <c r="H7"/>
  <c r="H6"/>
  <c r="B55" i="14"/>
  <c r="B54"/>
  <c r="B52"/>
  <c r="B51"/>
  <c r="B46"/>
  <c r="B42"/>
  <c r="B36"/>
  <c r="J48" i="13" s="1"/>
  <c r="I48"/>
  <c r="H48"/>
  <c r="G48"/>
  <c r="F48"/>
  <c r="E48"/>
  <c r="D48"/>
  <c r="C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I27"/>
  <c r="H27"/>
  <c r="G27"/>
  <c r="F27"/>
  <c r="E27"/>
  <c r="D27"/>
  <c r="C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N46" i="12"/>
  <c r="M46"/>
  <c r="L46"/>
  <c r="K46"/>
  <c r="J46"/>
  <c r="I46"/>
  <c r="H46"/>
  <c r="G46"/>
  <c r="F46"/>
  <c r="E46"/>
  <c r="D46"/>
  <c r="C46"/>
  <c r="B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B19"/>
  <c r="U158" i="18" l="1"/>
</calcChain>
</file>

<file path=xl/sharedStrings.xml><?xml version="1.0" encoding="utf-8"?>
<sst xmlns="http://schemas.openxmlformats.org/spreadsheetml/2006/main" count="4030" uniqueCount="512">
  <si>
    <t xml:space="preserve">منتوجات المملكة  النباتية  
Vegetable products </t>
  </si>
  <si>
    <t xml:space="preserve">  شحوم ودهون وزيوت 
Fats &amp; edible fats &amp; oils</t>
  </si>
  <si>
    <t xml:space="preserve">  منتجات صناعة الأغذية 
Prepared foodstuffs</t>
  </si>
  <si>
    <t xml:space="preserve"> منتجات معدنية
Mineral Products </t>
  </si>
  <si>
    <t xml:space="preserve">منتجات الصناعة الكيمياوية
 Products of the chemical </t>
  </si>
  <si>
    <t xml:space="preserve">  جلود و فراء ومصنوعاتها
Raw hides &amp; skins, leather, furskins</t>
  </si>
  <si>
    <t xml:space="preserve">   خشب ومصنوعاته
Woods and articles of wood</t>
  </si>
  <si>
    <t xml:space="preserve"> ورق ومصنوعاته
 Paper &amp; paperboard and articles thereof</t>
  </si>
  <si>
    <t xml:space="preserve">  مواد نسيجية ومصنوعاتها
Textiles &amp; textile articles</t>
  </si>
  <si>
    <t xml:space="preserve">  أحذية وأغطية رأس وريش
 Footwear, headgear &amp; prepared feather</t>
  </si>
  <si>
    <t xml:space="preserve">مصنوعات من حجر جيبس وإسمنت
 Articles of stone, plaster, and cement </t>
  </si>
  <si>
    <t xml:space="preserve">  لؤلؤ وأحجار كريمة وشبه كريمة ومعادن ثمينة باستثناء سبائك الذهب الخام
 Pearls, precious metals and jewelry except raw gold ingots</t>
  </si>
  <si>
    <t xml:space="preserve">  معادن عادية ومصنوعاتها
 Base metals &amp; articles of base metal</t>
  </si>
  <si>
    <t xml:space="preserve">   آلات وأجهزة ومعدات
Machinery and mechanical appliances </t>
  </si>
  <si>
    <t xml:space="preserve">معدات نقل
 Transport equipment  </t>
  </si>
  <si>
    <t xml:space="preserve"> أدوات وأجهزة للبصريات
 Optical instruments &amp; apparatus </t>
  </si>
  <si>
    <t xml:space="preserve">ـسلحة وذخائر
 Arms and ammunition </t>
  </si>
  <si>
    <t xml:space="preserve"> مختلف
 Miscellaneous manufactured articles</t>
  </si>
  <si>
    <t>الوحدة: بمليون دولار اميركي</t>
  </si>
  <si>
    <t>Unit: Millions of US Dollars</t>
  </si>
  <si>
    <t xml:space="preserve">  كانون ثاني
January</t>
  </si>
  <si>
    <t>شباط
 Febraury</t>
  </si>
  <si>
    <t xml:space="preserve">  آذار
 March</t>
  </si>
  <si>
    <t xml:space="preserve">  نيسان
 April</t>
  </si>
  <si>
    <t xml:space="preserve">   أيار
May</t>
  </si>
  <si>
    <t xml:space="preserve">حزيران
 June </t>
  </si>
  <si>
    <t xml:space="preserve"> تموز
 July</t>
  </si>
  <si>
    <t xml:space="preserve"> آب
August </t>
  </si>
  <si>
    <t xml:space="preserve"> أيلول
September </t>
  </si>
  <si>
    <t xml:space="preserve"> تشرين أول
 October</t>
  </si>
  <si>
    <t xml:space="preserve"> تشرين ثاني
November</t>
  </si>
  <si>
    <t xml:space="preserve">كانون أول
 December </t>
  </si>
  <si>
    <t>الشهر
Month</t>
  </si>
  <si>
    <t>القيمة
Value</t>
  </si>
  <si>
    <t>المجموع
Total</t>
  </si>
  <si>
    <t xml:space="preserve">
 مجموع 
 Total </t>
  </si>
  <si>
    <t xml:space="preserve"> منتوجات المملكة الحيوانية 
Animal products</t>
  </si>
  <si>
    <t xml:space="preserve">منتجات ولدائن اصطناعية
 Plastics &amp; articles thereof </t>
  </si>
  <si>
    <t xml:space="preserve">منتج\\ات ولدائن اصطناعية
 Plastics &amp; articles thereof </t>
  </si>
  <si>
    <t>السلع
Goods</t>
  </si>
  <si>
    <t xml:space="preserve"> أيلول
 September </t>
  </si>
  <si>
    <t>الفصل 
Semester</t>
  </si>
  <si>
    <t>الدول الآسيوية
Asia excluding Arab countries</t>
  </si>
  <si>
    <t>الاول 
First</t>
  </si>
  <si>
    <t>الثاني
Second</t>
  </si>
  <si>
    <t>المجموع 
Total</t>
  </si>
  <si>
    <t>الوحدة: بالاف دولارات</t>
  </si>
  <si>
    <t>Unit: Thousands of US Dollars</t>
  </si>
  <si>
    <t>نيوزيلندا</t>
  </si>
  <si>
    <t>كاميرون</t>
  </si>
  <si>
    <t>ليتوانيا</t>
  </si>
  <si>
    <t>استونيا</t>
  </si>
  <si>
    <t>جدول 1:توزيع قيمة الصادارت الصناعية بموجب الشهر خلال العام 2015</t>
  </si>
  <si>
    <t>Table 1: Distribution of the value of industrial exports by month  during 2015</t>
  </si>
  <si>
    <t xml:space="preserve"> المصدر :وزارة الصناعة
 Source : Ministry of Industry 
</t>
  </si>
  <si>
    <t>شباط
Febraury</t>
  </si>
  <si>
    <t xml:space="preserve">جدول 2: توزيع قيمة الصادرات الصناعية  شهريا حسب السلع المصدرة  خلال العام 2015
Table 2: Monthly Distribution of the value of industrial exports by goods  during 2015 </t>
  </si>
  <si>
    <t xml:space="preserve">                                                                  الشهر Month
السلع  Goods
</t>
  </si>
  <si>
    <t xml:space="preserve">جدول 3: توزيع قيمة الصادرات الصناعية  بحسب السلع المصدرة وتكتلات الدول  خلال العام 2015
Table 3: Distribution of the value of industrial exports by goods and Country  during 2015 </t>
  </si>
  <si>
    <t>البلد المصدر اليه
Country</t>
  </si>
  <si>
    <t>ايطاليا
Italy</t>
  </si>
  <si>
    <t>المانيا
Germany</t>
  </si>
  <si>
    <t>تركيا
Turkey</t>
  </si>
  <si>
    <t>الولايات المتحدة الاميركية
United States</t>
  </si>
  <si>
    <t>فرنسا
France</t>
  </si>
  <si>
    <t>المملكة المتحدة
United Kingdom</t>
  </si>
  <si>
    <t>هولندا
Netherlands</t>
  </si>
  <si>
    <t>البرازيل
Brazil</t>
  </si>
  <si>
    <t>اسبانيا
Spain</t>
  </si>
  <si>
    <t>جمهورية كوريا
Republic of Korea</t>
  </si>
  <si>
    <t>الهند
India</t>
  </si>
  <si>
    <t>الاردن
Jordan</t>
  </si>
  <si>
    <t>سوريا
Syrian Arab Republic</t>
  </si>
  <si>
    <t>الامارات العربية المتحدة
United Arab Emirates</t>
  </si>
  <si>
    <t>مصر
Egypt</t>
  </si>
  <si>
    <t>المملكة العربية السعودية
Saudi Arabia</t>
  </si>
  <si>
    <t xml:space="preserve">نيجيريا
Nigeria </t>
  </si>
  <si>
    <t>العراق
Iraq</t>
  </si>
  <si>
    <t>الكويت
Kuwait</t>
  </si>
  <si>
    <t>غانا
Ghana</t>
  </si>
  <si>
    <t>ساحل العاج
Côte D'Ivoire</t>
  </si>
  <si>
    <t>هونغ كونغ
Hong Kong</t>
  </si>
  <si>
    <t xml:space="preserve">اسلحة وذخائر
 Arms and ammunition </t>
  </si>
  <si>
    <t>الوحدة: بالاف دولارات                               Unit: Thousands of US Dollars</t>
  </si>
  <si>
    <t xml:space="preserve">مجموع 
 Total </t>
  </si>
  <si>
    <t>تكتلات الدول
country</t>
  </si>
  <si>
    <t>الجزائر
Algeria</t>
  </si>
  <si>
    <t>قطر
Qatar</t>
  </si>
  <si>
    <t>انغولا
Angola</t>
  </si>
  <si>
    <t>بنغلادش
Bangladesh</t>
  </si>
  <si>
    <t xml:space="preserve">
الدول العربية 
Arab countries  </t>
  </si>
  <si>
    <t xml:space="preserve">
أوقيانا
Oceania</t>
  </si>
  <si>
    <t xml:space="preserve">
 أوروبا
Europe</t>
  </si>
  <si>
    <t xml:space="preserve">
 القارة الأميركية
America</t>
  </si>
  <si>
    <t xml:space="preserve"> 
إفريقيا
Africa</t>
  </si>
  <si>
    <t xml:space="preserve">
مختلف
  Miscellaneous</t>
  </si>
  <si>
    <t>جدول 6: توزيع قيمة الصادرات  بحسب تكتلات الدول خلال النصف الاول من العام 2015
Table 6: Distribution of the value of industrial exports by continent  during the first semester 2015</t>
  </si>
  <si>
    <t>الوحدة: مليون دولار</t>
  </si>
  <si>
    <t>Unit: Million dollars</t>
  </si>
  <si>
    <t>الدول العربية
Arab countries</t>
  </si>
  <si>
    <t>الدول الاوروبية
European countries</t>
  </si>
  <si>
    <t>الدول الاوقانية
Oceania countries</t>
  </si>
  <si>
    <t>الدول الامريكية
American countries</t>
  </si>
  <si>
    <t>الدول الاسيوية غير العربية
Asian countries 
 (without arab countries)</t>
  </si>
  <si>
    <t xml:space="preserve">الدول الافريقية الغير العربية
African countries 
(without arab countries) </t>
  </si>
  <si>
    <t>جدول 7: توزيع قيمة الصادرات  بحسب تكتلات الدول خلال النصف الثاني من العام 2015
Table 7: Distribution of the value of industrial exports by continent  during the second semester 2015</t>
  </si>
  <si>
    <t>اكثر من 15 مليون د.أ
More than 15 million USD</t>
  </si>
  <si>
    <t>_</t>
  </si>
  <si>
    <t>[0-1[</t>
  </si>
  <si>
    <t>[1-5[</t>
  </si>
  <si>
    <t>[5-10[</t>
  </si>
  <si>
    <t>[10-15[</t>
  </si>
  <si>
    <t>جدول 8: توزيع قيمة الصادرات  بحسب ابرز السلع المصدرة وابرز البلدان المصدر اليها خلال النصف الاول من العام 2015
Table 8: Distribution of the value of industrial exports by goods and countries  during the first semester 2015</t>
  </si>
  <si>
    <t xml:space="preserve">البلد                                                
 Country                                           السلع المصدرة    
 Industrial Exports    </t>
  </si>
  <si>
    <t xml:space="preserve">لدائن اصطناعية
 Plastics &amp; articles thereof </t>
  </si>
  <si>
    <t>الكونغو
Congo</t>
  </si>
  <si>
    <t>الجماهيرية الليبية
Libya</t>
  </si>
  <si>
    <t xml:space="preserve">                        الشهر Month
البلد country</t>
  </si>
  <si>
    <t xml:space="preserve"> سوريا
Syria </t>
  </si>
  <si>
    <t xml:space="preserve">  السعودية
Saudi Arabia </t>
  </si>
  <si>
    <t xml:space="preserve">  الإمارات العربية المتحدة
United Arab Emirates</t>
  </si>
  <si>
    <t xml:space="preserve"> ألكويت
 Kuwait</t>
  </si>
  <si>
    <t xml:space="preserve"> الأردن
Jordan</t>
  </si>
  <si>
    <t xml:space="preserve"> مصر
Egypt </t>
  </si>
  <si>
    <t xml:space="preserve">  إفريقيا الجنوبية
South Africa</t>
  </si>
  <si>
    <t>تونس
Tunisia</t>
  </si>
  <si>
    <t>المغرب 
Marocca</t>
  </si>
  <si>
    <t>نيجيريا
Nigeria</t>
  </si>
  <si>
    <t xml:space="preserve">البرازيل
 Brazil </t>
  </si>
  <si>
    <t xml:space="preserve"> كندا
Canada </t>
  </si>
  <si>
    <t xml:space="preserve"> الولايات المتحدة
United States </t>
  </si>
  <si>
    <t xml:space="preserve"> فنزويلا
Venezuela</t>
  </si>
  <si>
    <t>كوستاريكا
Costa Rica</t>
  </si>
  <si>
    <t xml:space="preserve">   الأرجنتين
Argentina</t>
  </si>
  <si>
    <t xml:space="preserve">دومينيكان
Dominica </t>
  </si>
  <si>
    <t xml:space="preserve">  مكسيك
Mexico</t>
  </si>
  <si>
    <t xml:space="preserve"> الصين
 China</t>
  </si>
  <si>
    <t xml:space="preserve">  هونغ كونغ
Hong Kong</t>
  </si>
  <si>
    <t xml:space="preserve">  الهند
India</t>
  </si>
  <si>
    <t xml:space="preserve"> أندونيسيا
Indonesia </t>
  </si>
  <si>
    <t xml:space="preserve"> إيران
Iran</t>
  </si>
  <si>
    <t xml:space="preserve"> اليابان
 Japan </t>
  </si>
  <si>
    <t xml:space="preserve"> ماليزيا
Malaysia </t>
  </si>
  <si>
    <t xml:space="preserve"> فيليبين
Philippines </t>
  </si>
  <si>
    <t xml:space="preserve">جمهورية كوريا
Korean Republic </t>
  </si>
  <si>
    <t xml:space="preserve"> فييتنام
Vietnam</t>
  </si>
  <si>
    <t xml:space="preserve"> تايوان
Taïwan </t>
  </si>
  <si>
    <t>باكستان
Pakistan</t>
  </si>
  <si>
    <t xml:space="preserve"> تايلاندا
 Thailand</t>
  </si>
  <si>
    <t xml:space="preserve">   ألمانيا
Germany</t>
  </si>
  <si>
    <t xml:space="preserve">أرمينيا
 Armenia </t>
  </si>
  <si>
    <t>النمسا
Austria</t>
  </si>
  <si>
    <t xml:space="preserve"> بلجيكا
 Belgium </t>
  </si>
  <si>
    <t xml:space="preserve"> البوسنة والهرسك
 Bosnia &amp; Herzegovina</t>
  </si>
  <si>
    <t xml:space="preserve"> بلغاريا
Bulgary </t>
  </si>
  <si>
    <t xml:space="preserve"> قبرص
Cyprus</t>
  </si>
  <si>
    <t xml:space="preserve"> الدانمارك
Denmark</t>
  </si>
  <si>
    <t xml:space="preserve">  إسبانيا
Spain</t>
  </si>
  <si>
    <t xml:space="preserve">  فنلندا
Finalnd </t>
  </si>
  <si>
    <t xml:space="preserve"> فرنسا
France</t>
  </si>
  <si>
    <t xml:space="preserve">  اليونان
Greece</t>
  </si>
  <si>
    <t xml:space="preserve">المجر
 Hungary </t>
  </si>
  <si>
    <t xml:space="preserve">  إيرلندا
 Ireland</t>
  </si>
  <si>
    <t xml:space="preserve"> إيطاليا
Italy </t>
  </si>
  <si>
    <t>لاتفيا
Latvia</t>
  </si>
  <si>
    <t xml:space="preserve"> لتوانيا
 Lithuania </t>
  </si>
  <si>
    <t xml:space="preserve">  لكسمبورغ
Luxembourg</t>
  </si>
  <si>
    <t xml:space="preserve">  النروج
 Norway</t>
  </si>
  <si>
    <t xml:space="preserve"> هولندا
Netherlands</t>
  </si>
  <si>
    <t xml:space="preserve">  البرتغال
Portugal</t>
  </si>
  <si>
    <t xml:space="preserve">تشيكيا
Czech Republic </t>
  </si>
  <si>
    <t xml:space="preserve">  رومانيا
Romania</t>
  </si>
  <si>
    <t xml:space="preserve"> المملكة المتحدة
United Kingdom </t>
  </si>
  <si>
    <t xml:space="preserve">  روسيا
 Russia</t>
  </si>
  <si>
    <t>سان مارينو
San Marino</t>
  </si>
  <si>
    <t xml:space="preserve"> سلوفاكيا
 Slovakia</t>
  </si>
  <si>
    <t xml:space="preserve">  سلوفينيا
 Slovenia</t>
  </si>
  <si>
    <t xml:space="preserve"> سويسرا
 Switzerland </t>
  </si>
  <si>
    <t xml:space="preserve"> تركيا
 Turkey</t>
  </si>
  <si>
    <t>سوازيلند
Swaziland</t>
  </si>
  <si>
    <t>هنغاريا
Hungary</t>
  </si>
  <si>
    <t xml:space="preserve">صربيا
Serbia </t>
  </si>
  <si>
    <t xml:space="preserve">كرواتيا
Croatia </t>
  </si>
  <si>
    <t xml:space="preserve">استونيا
Estonia </t>
  </si>
  <si>
    <t>مالطا
Malta</t>
  </si>
  <si>
    <t>روسيا البيضاء
Belarus</t>
  </si>
  <si>
    <t>جورجيا
Georgia</t>
  </si>
  <si>
    <t xml:space="preserve"> أوكرانيا
Ukraine</t>
  </si>
  <si>
    <t>نيوزيلندا
New Zealand</t>
  </si>
  <si>
    <t xml:space="preserve">  أستراليا
 Australia</t>
  </si>
  <si>
    <t>Unit: Lebanese Pound</t>
  </si>
  <si>
    <t>الوحدة:  بالليرة اللبنانية</t>
  </si>
  <si>
    <t>جدول 9: توزيع قيمة الصادرات  بحسب ابرز السلع المصدرة وابرز البلدان المصدر اليها خلال النصف الثاني من العام 2015
Table 9: Distribution of the value of industrial exports by goods and countries  during the first semester 2015</t>
  </si>
  <si>
    <t xml:space="preserve"> سنغأفورة
Singapour</t>
  </si>
  <si>
    <t>السويد
Sweden</t>
  </si>
  <si>
    <t>مختلف
Other</t>
  </si>
  <si>
    <t>بولونيا
Bologna</t>
  </si>
  <si>
    <t>عمان
Amman</t>
  </si>
  <si>
    <t>مقدونيا
Macedonia</t>
  </si>
  <si>
    <t>ترينيتي توباغر
Trinidad and Tobago</t>
  </si>
  <si>
    <t>كاميرون
Cameron</t>
  </si>
  <si>
    <t>ايسلندا
Ireland</t>
  </si>
  <si>
    <t>غينيا بيساو
Guinea-Bissau</t>
  </si>
  <si>
    <t>كينيا
Kenya</t>
  </si>
  <si>
    <t>كولومبيا
Colombia</t>
  </si>
  <si>
    <t>موناكو
Monaco</t>
  </si>
  <si>
    <t>ماكاو
Macao</t>
  </si>
  <si>
    <t>جدول 11: قيمة الواردات من الآلات والمعدات الصناعية بحسب القطاعات الصناعية والبلد المصدر خلال النصف الاول من العام 2015
Table 11: The value of imports of industrial machinery and equipment by Industrial sectors and Exporting country during the first semester of 2015</t>
  </si>
  <si>
    <t>الصين
China</t>
  </si>
  <si>
    <t>ماليزيا
Malaysia</t>
  </si>
  <si>
    <t>تايوان
Taiwan</t>
  </si>
  <si>
    <t>قبرص
Cyprus</t>
  </si>
  <si>
    <t>سويسرا
Switzerland</t>
  </si>
  <si>
    <t>بلجيكا
Belgium</t>
  </si>
  <si>
    <t>المكسيك
Mexico</t>
  </si>
  <si>
    <t>فيتنام
Vietnam</t>
  </si>
  <si>
    <t>اوكرانيا
Ukraine</t>
  </si>
  <si>
    <t>اليونان
Greece</t>
  </si>
  <si>
    <t>كندا
Canada</t>
  </si>
  <si>
    <t>سنغافورة
Singapore</t>
  </si>
  <si>
    <t>اليابان
Japan</t>
  </si>
  <si>
    <t>بولونيا
Poland</t>
  </si>
  <si>
    <t>تايلاند
Thailand</t>
  </si>
  <si>
    <t>البرتغال
Portugal</t>
  </si>
  <si>
    <t>الدانمارك
Denmark</t>
  </si>
  <si>
    <t>اندونيسيا
Indonesia</t>
  </si>
  <si>
    <t>بلغاريا
Bulgary</t>
  </si>
  <si>
    <t>سلوفاكيا
Slovakia</t>
  </si>
  <si>
    <t>تشيكيا
Czech Republic</t>
  </si>
  <si>
    <t>رومانيا
Romania</t>
  </si>
  <si>
    <t xml:space="preserve">كوستاريكا
Costa Rica </t>
  </si>
  <si>
    <t>ايران
Iran</t>
  </si>
  <si>
    <t>الفيليبين
Philippines</t>
  </si>
  <si>
    <t>روسيا
Russia</t>
  </si>
  <si>
    <t>افريقيا الجنوبية
South Africa</t>
  </si>
  <si>
    <t>ج. دومينيكان
Dominican Republic</t>
  </si>
  <si>
    <t>الارجنتين
Argentina</t>
  </si>
  <si>
    <t>ايرلندا
Ireland</t>
  </si>
  <si>
    <t>المغرب
Morocco</t>
  </si>
  <si>
    <t>روسيا البيضاء
White Russia</t>
  </si>
  <si>
    <t>لاتيفيا
Latvia</t>
  </si>
  <si>
    <t>سلوفينيا
Slovenia</t>
  </si>
  <si>
    <t>سان ماران
San Marino</t>
  </si>
  <si>
    <t>كرواتيا
Croatia</t>
  </si>
  <si>
    <t>استراليا
Austria</t>
  </si>
  <si>
    <t>فنلندا
Phinland</t>
  </si>
  <si>
    <t>جدول 12: قيمة الواردات من الآلات والمعدات الصناعية بحسب القطاعات الصناعية والبلد المصدر خلال النصف الثاني من العام 2015
Table 12: The value of imports of industrial machinery and equipment by Industrial sectors and Exporting country during the second semester of 2015</t>
  </si>
  <si>
    <t>هونغ كونغ
Hong kong</t>
  </si>
  <si>
    <t>النروج
Norway</t>
  </si>
  <si>
    <t xml:space="preserve">جدول 13: توزيع قرارات الترخيص بحسب الشهر خلال  العام 2015
 table 13: Industrial permits by month during 2015  </t>
  </si>
  <si>
    <t>العدد
Number</t>
  </si>
  <si>
    <t>جدول 14: توزيع قرارات الترخيص بحسب نوع القرار والفئة خلال النصف الاول من العام 2015
 Table 14: Industrial permits by type of decision and category  during the first  semester of 2015</t>
  </si>
  <si>
    <t xml:space="preserve">                                                                                       نوع القرار                          Type of Decision                       
الفئة
 Category</t>
  </si>
  <si>
    <t>انشاء
construction</t>
  </si>
  <si>
    <t>استثمار
Investment</t>
  </si>
  <si>
    <t>انشاء واستثمار
Construction and investment</t>
  </si>
  <si>
    <t xml:space="preserve">تعديل ترخيص / نقل حق ترخيص
Transfer of permit right / Permit change </t>
  </si>
  <si>
    <t xml:space="preserve"> عدم الموافقة على انشاء مصنع / اقفال مصنع
Shutting down an industry / 
Cancelling an investment decision </t>
  </si>
  <si>
    <t>تنبيه / طلب تسوية / اعادة فتح معمل
 Warning / Claim / 
Reestablishing a plant</t>
  </si>
  <si>
    <t>تجديد رخصة انشاء
Renewing contruction permit</t>
  </si>
  <si>
    <t>منشأ سابقاً
 Old construction</t>
  </si>
  <si>
    <t>انشاء جديد
New Construction</t>
  </si>
  <si>
    <t>جدول 15: توزيع قرارات الترخيص بحسب نوع القرار والفئة خلال النصف الثاني من العام 2015
 Table 15: Industrial permits by type of decision and category  during the second  semester of 2015</t>
  </si>
  <si>
    <t xml:space="preserve">                                 نوع القرار                                       Type of Decision                            
المحافظة
 Mohafazat</t>
  </si>
  <si>
    <t xml:space="preserve">جبل لبنان
 Mount-Lebanon </t>
  </si>
  <si>
    <t xml:space="preserve"> البقاع
 Bekaa</t>
  </si>
  <si>
    <t xml:space="preserve"> لبنان الشمالي
 North Lebanon</t>
  </si>
  <si>
    <t xml:space="preserve"> لبنان الجنوبي
 South Lebanon</t>
  </si>
  <si>
    <t xml:space="preserve"> النبطية
Nabatiyeh </t>
  </si>
  <si>
    <t xml:space="preserve">بيروت
 Beirut </t>
  </si>
  <si>
    <t xml:space="preserve"> المجموع
Total</t>
  </si>
  <si>
    <t>-</t>
  </si>
  <si>
    <t xml:space="preserve">  جدول 18: التراخيص الصناعية بموجب الفئة والمحافظة خلال الفصل الأول  من عام 2015
Table 18: Industrial permits by category and Mohafazat during the first semester  of 2015 </t>
  </si>
  <si>
    <t xml:space="preserve">                                     الفئة                                               Category                       
المحافظة
 Mohafazat</t>
  </si>
  <si>
    <t>اللوكسمبورغ
LUXEMBOURG</t>
  </si>
  <si>
    <t>البوسنة والهرسك
Bosnia and Herzegovina</t>
  </si>
  <si>
    <t>ارمينيا
Armenia</t>
  </si>
  <si>
    <t>فنزويلا
Venezuela</t>
  </si>
  <si>
    <t xml:space="preserve">                                       القطاعات الصناعية
                                         Industrial sectors
البلد
 Country</t>
  </si>
  <si>
    <t>المجموع  
Total</t>
  </si>
  <si>
    <t xml:space="preserve">المجموع 
Total </t>
  </si>
  <si>
    <t>صربيا
Serbia</t>
  </si>
  <si>
    <t>فييتنام
Vietnam</t>
  </si>
  <si>
    <t>ترينيتي توباغو
Trinity Tobago</t>
  </si>
  <si>
    <t>اللكوكسمبورغ
LUXEMBOURG</t>
  </si>
  <si>
    <t>ايسلندا
Iceland</t>
  </si>
  <si>
    <t xml:space="preserve">  جدول 19: التراخيص الصناعية بموجب الفئة والمحافظة خلال الفصل الثاني  من عام 2015
Table 19: Industrial permits by category and Mohafazat during the second semester  of 2015 </t>
  </si>
  <si>
    <t>تعديل ترخيص / نقل حق ترخيص</t>
  </si>
  <si>
    <t> 1</t>
  </si>
  <si>
    <t>آلات تستعمل في التغليف
machines used in packaging</t>
  </si>
  <si>
    <t>آلات للطباعة والتجليد
printing &amp; binding machines</t>
  </si>
  <si>
    <t>آلات للصناعات الغذائية
machines used in food industries</t>
  </si>
  <si>
    <t>آلات لصناعة المطاط واللدائن
machines for rubber &amp; plastic industry</t>
  </si>
  <si>
    <t>آلات لصناعة المنتجات  المعدنية
machines for metal industry</t>
  </si>
  <si>
    <t>معدات للصناعات الطبية
equipments for medical industries</t>
  </si>
  <si>
    <t xml:space="preserve">آلات لصناعة الورق والكرتون
machines for paperboard &amp; paper  </t>
  </si>
  <si>
    <t>معدات لصناعة الآلات الأتوماتيكية
equipments for automatic machines industry</t>
  </si>
  <si>
    <t>آلا لصناعة الألبسة والنسيج
machines for clothes &amp; textiles industry</t>
  </si>
  <si>
    <t>آلا لتسجيل ونسخ اشرطة الفيديو و ال سي دي
machines for recording &amp; copy video cassette &amp; CD</t>
  </si>
  <si>
    <t>آلات التجهيزات الكهربائية
electrical equipment machines</t>
  </si>
  <si>
    <t>آلات الصناعات الكيميائية
chemical industries machines</t>
  </si>
  <si>
    <t>معدات لصناعة الآلات
equipment for machines industry</t>
  </si>
  <si>
    <t>آلات لصناعة حجارة البناء
machines for construction stones industry</t>
  </si>
  <si>
    <t>آلات لصناعة الجلود والأحذية
machines for leather &amp; shoes industry</t>
  </si>
  <si>
    <t>آلات لخلط مواد البناء
machines for mixing construction materials</t>
  </si>
  <si>
    <t>آلات لصناعة الخشب
machines for wood industry</t>
  </si>
  <si>
    <t>آلات لصناعة العلف للحيوانات
machines for animals fodder industry</t>
  </si>
  <si>
    <t>مختلف
miscellaneous</t>
  </si>
  <si>
    <t>آلات لصناعة المنتجات المعدنية
machines for metal industry</t>
  </si>
  <si>
    <t>آلات لصناعة المطاط والدائن
machines for rubber &amp; plastic industry</t>
  </si>
  <si>
    <t>آلات تستعمل في التنظيف
machines used in cleaning</t>
  </si>
  <si>
    <t>معدات لصناعة الآلات الاوتوماتيكية
equipments for automatic machines industry</t>
  </si>
  <si>
    <t>آلات لصناعة الورق والكرتون
machines for paperboard &amp; paper industry</t>
  </si>
  <si>
    <t>آلات لتسجيل ونسخ اشرطة الفيديو وال سي دي
machines for recording &amp; copy video cassette &amp; CD</t>
  </si>
  <si>
    <t>آلات لصناعة الألبسة والنسيج
machines for clothes &amp; textiles industry</t>
  </si>
  <si>
    <t>آلات للتجهيزات الكهربائية
electrical equipment machines</t>
  </si>
  <si>
    <t>آلات للصناعات الكيميائية
chemical industries machines</t>
  </si>
  <si>
    <t xml:space="preserve">آلات لصناعة العلف للحيوانات
machines for animals fodder industry
</t>
  </si>
  <si>
    <t xml:space="preserve">معدات لصناعة الآلات
equipment for machines industry </t>
  </si>
  <si>
    <t>آلات تخلط مواد البناء
machines for mixing construction materials</t>
  </si>
  <si>
    <t>آلات  لصناعة حجارة البناء
machines for construction stones industry</t>
  </si>
  <si>
    <t>آلات لصناعة الجلود والاحذية
machines for leather &amp; shoes industry</t>
  </si>
  <si>
    <t> المجموع
Total</t>
  </si>
  <si>
    <t>المتن
Metn</t>
  </si>
  <si>
    <t>عاليه
Aleih</t>
  </si>
  <si>
    <t>زحلة
Zahle</t>
  </si>
  <si>
    <t>الشوف
Chouf</t>
  </si>
  <si>
    <t>جبيل
Byblos</t>
  </si>
  <si>
    <t>بعبدا
Baabda</t>
  </si>
  <si>
    <t>صيدا
Sidon</t>
  </si>
  <si>
    <t>بعلبك
Baalbek</t>
  </si>
  <si>
    <t>كسروان
Kesrouan</t>
  </si>
  <si>
    <t>النبطية
Nabatieh</t>
  </si>
  <si>
    <t>الكورة
Koura</t>
  </si>
  <si>
    <t xml:space="preserve"> بيروت
Beirut</t>
  </si>
  <si>
    <t>عكار
Akkar</t>
  </si>
  <si>
    <t>البترون
Batroun</t>
  </si>
  <si>
    <t>البقاع الغربي
West Bekaa</t>
  </si>
  <si>
    <t>صور
Tyre</t>
  </si>
  <si>
    <t>حاصبيا
Hasbaya</t>
  </si>
  <si>
    <t>مرجعيون
Marjayoun</t>
  </si>
  <si>
    <t>بنت جبيل
bent Jbeil</t>
  </si>
  <si>
    <t>جزين
Jezzine</t>
  </si>
  <si>
    <t>راشيا
Rashayya</t>
  </si>
  <si>
    <t>المنية الضنية
menyeh Danniyeh</t>
  </si>
  <si>
    <t>الهرمل
Hermel</t>
  </si>
  <si>
    <t>بشري
Bchereh</t>
  </si>
  <si>
    <t>بيروت
Beirut</t>
  </si>
  <si>
    <t>زغرتا
Zgharta</t>
  </si>
  <si>
    <t>طرابلس
Tripoli</t>
  </si>
  <si>
    <t xml:space="preserve">                                  نوع القرار                                      Type of Decision              
القضاء
 Kazaa</t>
  </si>
  <si>
    <t xml:space="preserve">                                    نوع القرار                                      Type of Decision              
القضاء
 Kazaa</t>
  </si>
  <si>
    <t xml:space="preserve"> جدول 22: التراخيص الصناعية بموجب المحافظة والشهر خلال العام 2015
 Table 22: Industrial permits by Mohafaza and month during 2015 </t>
  </si>
  <si>
    <t>الشياح
Shiah</t>
  </si>
  <si>
    <t>الشويفات
Choueifat</t>
  </si>
  <si>
    <t>المتين
Matin</t>
  </si>
  <si>
    <t>انفه
Anfeh</t>
  </si>
  <si>
    <t>برج حمود
Bourj Hammoud</t>
  </si>
  <si>
    <t>البوشرية
Bouchria</t>
  </si>
  <si>
    <t>حالات
Halet</t>
  </si>
  <si>
    <t>روميه
Roumieh</t>
  </si>
  <si>
    <t>زوق مصبح
Zouk Mosbeh</t>
  </si>
  <si>
    <t>صيدا الدكرمان
Sidon Aldkerman</t>
  </si>
  <si>
    <t>عرمون عاليه
Armoun Aleh</t>
  </si>
  <si>
    <t>الغازية
Ghaziyeh</t>
  </si>
  <si>
    <t>بشامون
Bchemoun</t>
  </si>
  <si>
    <t>زلقا
Zalka</t>
  </si>
  <si>
    <t>هرمل
Hermel</t>
  </si>
  <si>
    <t>بر الياس
Bar Eliyas</t>
  </si>
  <si>
    <t>بساتين طرابلس
Bsaten Tripoli</t>
  </si>
  <si>
    <t>تعنايل
Taenayel</t>
  </si>
  <si>
    <t>حصرايل
Hosrayel</t>
  </si>
  <si>
    <t>درعون
Daroun</t>
  </si>
  <si>
    <t xml:space="preserve">                               الفئة                                              Category            المناطق الصناعية
  industrial areas </t>
  </si>
  <si>
    <t>مواد بناء
 construction materials</t>
  </si>
  <si>
    <t>الصناعات الكيماوية
  chemicals industries</t>
  </si>
  <si>
    <t>المنتجات المعدنية والكهربائية الفنية
 metal products &amp; technical electricity</t>
  </si>
  <si>
    <t>صناعة المواد الغذائية
 food industries</t>
  </si>
  <si>
    <t>منتجات  المناجم  والمقالع
 mines &amp; quarries products</t>
  </si>
  <si>
    <t>المطاط  والبلاستيك
 rubber &amp; plastics</t>
  </si>
  <si>
    <t>صناعة المفروشات والخشب
 furniture &amp; wood industry</t>
  </si>
  <si>
    <t>النشر والطباعة ووسائل الاعلان
 publishing &amp; printing &amp; advertisement means</t>
  </si>
  <si>
    <t>انتاج آلات ومعدات كهربائية مختلفة
 production of  machines &amp; different electrical equipments</t>
  </si>
  <si>
    <t>صناعة الآلات (الماكينات)
(instruments) machines industry</t>
  </si>
  <si>
    <t>صناعة المعادن الاولية
 raw metals industry</t>
  </si>
  <si>
    <t>صناعة ادوات وتجهيزات مختلفة
 tools &amp; different equipments industry</t>
  </si>
  <si>
    <t>المنتجات النسيجية
 textile products</t>
  </si>
  <si>
    <t>صناعة الملابس والمواد وصبغ الفرو
 industry of cloths &amp; its materials &amp; dying fur</t>
  </si>
  <si>
    <t>صناعة الورق
 paper industry</t>
  </si>
  <si>
    <t>اعادة تصنيع
 remanifacturing</t>
  </si>
  <si>
    <t>المواد المنجمية
 mine materials</t>
  </si>
  <si>
    <t xml:space="preserve">                                                 الفئة 
                                            Category  
النشاط الصناعي 
Industrial activity</t>
  </si>
  <si>
    <t>صناعة المواد الغذائية
food industries</t>
  </si>
  <si>
    <t>صناعة الآلات (الماكينات)
 machines (instruments) industry</t>
  </si>
  <si>
    <t>صناعة الجلود
 leather industry</t>
  </si>
  <si>
    <t>صناعات عائدة للمواصلات
 industries related to communication</t>
  </si>
  <si>
    <t>جبل لبنان     Mount Lebanon</t>
  </si>
  <si>
    <t>البقاع Beqaa</t>
  </si>
  <si>
    <t>النبطية Nabatiyeh</t>
  </si>
  <si>
    <t>بيروت Beirut</t>
  </si>
  <si>
    <t xml:space="preserve"> total المجموع   </t>
  </si>
  <si>
    <t>لبنان الشمالي
 North Lebanon</t>
  </si>
  <si>
    <t>لبنان الجنوبي
 South Lebanon</t>
  </si>
  <si>
    <t xml:space="preserve">المجموع  
total </t>
  </si>
  <si>
    <t xml:space="preserve">                                                            المحافظة
                                                          Mohafaza                       
النشاط الصناعي 
Industrial activity</t>
  </si>
  <si>
    <t xml:space="preserve">جدول 31: توزيع قرارات الترخيص بحسب نوع القرار والنشاط الصناعي خلال النصف الاول من العام 2015
 Table 31: Industrial permits by type of decision and Industrial activity during the first semester  2015 </t>
  </si>
  <si>
    <t xml:space="preserve"> جدول 20: التراخيص الصناعية بموجب نوع القرار والقضاء خلال الفصل الاول  من عام 2015
 Table 20: Industrial permits by type of decision and Kazaa during the first semester  2015 </t>
  </si>
  <si>
    <t xml:space="preserve"> جدول 21: التراخيص الصناعية بموجب نوع القرار والقضاء خلال الفصل الثاني  من عام 2015
 Table 21: Industrial permits by type of decision and Kazaa during the Second semester  2015 </t>
  </si>
  <si>
    <t xml:space="preserve">جدول29:  توزيع قرارات الترخيص بحسب المحافظة والنشاط الصناعي خلال النصف الاول من العام 2015    
 table 29: Industrial permits by Mohafaza and Industrial activity during the first semester  2015 </t>
  </si>
  <si>
    <t xml:space="preserve">جدول30:  توزيع قرارات الترخيص بحسب المحافظة والنشاط الصناعي خلال النصف الثاني من العام 2015    
 table 30: Industrial permits by Mohafaza and Industrial activity during the second semester  2015 </t>
  </si>
  <si>
    <t xml:space="preserve">                                                                 نوع القرار    
                                                          Type of Decision                  
النشاط الصناعي 
Industrial activity</t>
  </si>
  <si>
    <t xml:space="preserve"> جدول 16: التراخيص الصناعية بموجب نوع القرار والمحافظة خلال الفصل الأول  من عام 2015
 Table 16: Industrial permits by type of decision and Mohafazat during the first semester  2015 </t>
  </si>
  <si>
    <t xml:space="preserve"> جدول 17: التراخيص الصناعية بموجب نوع القرار والمحافظة خلال الفصل الثاني  من عام 2015
 Table 17: Industrial permits by type of decision and Mohafazat during the second semester  2015 </t>
  </si>
  <si>
    <t xml:space="preserve">                                                                                           المحافظة
                                        Mohafaza              الشهر
Month</t>
  </si>
  <si>
    <t xml:space="preserve">                          نوع القرار                                      Type of Decision              
المناطق الصناعية
  industrial areas </t>
  </si>
  <si>
    <t xml:space="preserve"> جدول 24: التراخيص الصناعية في ابرز المناطق الصناعية بحسب نوع القرار خلال النصف الثاني من العام 2015 
 Table 24: Industrial permits In the main industrial areas according to the type of decision during the second semester  2015 </t>
  </si>
  <si>
    <t xml:space="preserve"> جدول 23: التراخيص الصناعية في ابرز المناطق الصناعية بحسب نوع القرار خلال النصف الاول من العام 2015 
 Table 23: Industrial permits In the main industrial areas according to the type of decision during the first semester  2015 </t>
  </si>
  <si>
    <t xml:space="preserve">                         نوع القرار                                      Type of Decision              
المناطق الصناعية
  industrial areas </t>
  </si>
  <si>
    <t xml:space="preserve"> جدول 25: التراخيص الصناعية في ابرز المناطق الصناعية بحسب الفئة خلال النصف الاول من العام 2015 
 Table 25: Industrial permits In the main industrial areas according to the category during the first semester  2015 </t>
  </si>
  <si>
    <t xml:space="preserve"> جدول 26: التراخيص الصناعية في ابرز المناطق الصناعية بحسب الفئة خلال النصف الثاني من العام 2015 
 Table 26: Industrial permits In the main industrial areas according to the category during the second semester  2015 </t>
  </si>
  <si>
    <t xml:space="preserve">جدول 27: توزيع قرارات الترخيص بحسب الفئة والنشاط الصناعي خلال النصف الاول من العام 2015
 table 27: Industrial permits by Industrial activity and category during the first semester  2015 </t>
  </si>
  <si>
    <t xml:space="preserve">جدول 28: توزيع قرارات الترخيص بحسب الفئة والنشاط الصناعي خلال النصف الثاني من العام 2015
 table 28: Industrial permits by Industrial activity and category during the second semester  2015 </t>
  </si>
  <si>
    <t> المجموع
 total</t>
  </si>
  <si>
    <t xml:space="preserve">جدول 32: توزيع قرارات الترخيص بحسب نوع القرار والنشاط الصناعي خلال النصف الثاني من العام 2015
 Table 32: Industrial permits by type of decision and Industrial activity during the second semester  2015 </t>
  </si>
  <si>
    <t xml:space="preserve">                                   المناطق الصناعية
                                  industrial areas 
النشاط الصناعي
industrial activity</t>
  </si>
  <si>
    <t xml:space="preserve">جدول 33: توزيع قرارات الترخيص في ابرز المناطق الصناعية و بحسب النشاط الصناعي خلال النصف الاول من العام 2015
 Table 33: Industrial permits  In the main industrial areas and by Industrial activity during the first semester  2015 </t>
  </si>
  <si>
    <t xml:space="preserve">جدول 34: توزيع قرارات الترخيص في ابرز المناطق الصناعية و بحسب النشاط الصناعي خلال النصف الثاني من العام 2015
 Table 34: Industrial permits  In the main industrial areas and by Industrial activity during the second semester  2015 </t>
  </si>
  <si>
    <t>الوحدة: بالأطنان</t>
  </si>
  <si>
    <t>Unit: Tons</t>
  </si>
  <si>
    <t xml:space="preserve"> Month  الشهر                                   
Cigarettes السجائر</t>
  </si>
  <si>
    <t xml:space="preserve"> مجموع 
 Total </t>
  </si>
  <si>
    <t>Cedars 100 MM</t>
  </si>
  <si>
    <t>Cedars Plus FF KS BOX</t>
  </si>
  <si>
    <t>Cedars Plus Silver KS BOX</t>
  </si>
  <si>
    <t>Cedars Plus FF SKS SOF</t>
  </si>
  <si>
    <t>Cedars Plus Silver SKS SOF</t>
  </si>
  <si>
    <t>Maestro FULL FLAVOR SKS SOF</t>
  </si>
  <si>
    <t>Maestro VIOLET SKS SOFT</t>
  </si>
  <si>
    <t>SUPPARS</t>
  </si>
  <si>
    <t>BYBLOS</t>
  </si>
  <si>
    <t>مجموع 
Total</t>
  </si>
  <si>
    <t>الوحدة: بالدولار</t>
  </si>
  <si>
    <t>Unit: USD</t>
  </si>
  <si>
    <t>الكمية
Quantity</t>
  </si>
  <si>
    <t>المصدر: إدارة حصر التبغ والتنباك اللبنانية (الريجي)</t>
  </si>
  <si>
    <t xml:space="preserve">Source: Régie Libanaise des Tabacs et Tombacs </t>
  </si>
  <si>
    <t>جدول35: كميات المدخلات الشهرية المحلية  من السجائر خلال عام 2015</t>
  </si>
  <si>
    <t>Table35: Quantities of local monthly  inputs of cigarettes  for 2015</t>
  </si>
  <si>
    <t>جدول36: كميات المبيعات الشهرية المحلية  من السجائر خلال عام 2015</t>
  </si>
  <si>
    <t>Table36: Quantities of local monthly sales of cigarettes  for 2015</t>
  </si>
  <si>
    <t>جدول37: قيمة المبيعات الشهرية المحلية (دون قيمة الضريبة المضافة)  من السجائر خلال عام 2015</t>
  </si>
  <si>
    <t>Table37: Value of local monthly sales (without VAT) of cigarettes  for 2015</t>
  </si>
  <si>
    <t>جدول38: كميات المبيعات الشهرية المستوردة  من السجائر خلال عام 2015</t>
  </si>
  <si>
    <t>Table38: Quantities of imported monthly sales of cigarettes  for 2015</t>
  </si>
  <si>
    <t>جدول39: قيمة المبيعات الشهرية المستوردة (دون قيمة الضريبة المضافة)  من السجائر خلال عام 2015</t>
  </si>
  <si>
    <t>Table39: Value of imported monthly sales (without VAT) of cigarettes  for 2015</t>
  </si>
  <si>
    <t xml:space="preserve"> Month  الشهر                                   
Mooassal المعسل</t>
  </si>
  <si>
    <t>CHABABLEK</t>
  </si>
  <si>
    <t>NAKHA</t>
  </si>
  <si>
    <t>AL WARDA TOUFAHTEIN 50 GR</t>
  </si>
  <si>
    <t>AL WARDA TOUFAHTEIN 250 GR</t>
  </si>
  <si>
    <t>BIZRI</t>
  </si>
  <si>
    <t>جدول40: كميات المدخلات الشهرية المحلية  من المعسل خلال عام 2015</t>
  </si>
  <si>
    <t>Table 40: Quantities of local monthly  inputs of Mooassal  for 2015</t>
  </si>
  <si>
    <t>جدول41: كميات المبيعات الشهرية المحلية  من المعسل خلال عام 2015</t>
  </si>
  <si>
    <t>Table41: Quantities of local monthly sales of Mooassal for 2015</t>
  </si>
  <si>
    <t>جدول42: قيمة المبيعات الشهرية المحلية (دون قيمة الضريبة المضافة)  من المعسل خلال عام 2015</t>
  </si>
  <si>
    <t>Table42: Value of local monthly sales (without VAT) of Mooassal  for 2015</t>
  </si>
  <si>
    <t>جدول43: كميات المبيعات الشهرية المستوردة  من المعسل خلال عام 2015</t>
  </si>
  <si>
    <t>Table 43: Quantities of imported monthly sales of Mooassal  for 2015</t>
  </si>
  <si>
    <t>جدول44: قيمة المبيعات الشهرية المستوردة (دون قيمة الضريبة المضافة)  من المعسل خلال عام 2015</t>
  </si>
  <si>
    <t>Table44: Value of imported monthly sales (without VAT) of Mooassal  for 2015</t>
  </si>
  <si>
    <t>جدول45: قيمة المبيعات الشهرية المستوردة (دون قيمة الضريبة المضافة) من سيجار خلال عام 2015</t>
  </si>
  <si>
    <t>Table 45: Value of imported monthly sales (withou VAT) of cigar  for 2015</t>
  </si>
  <si>
    <t>جدول46: قيمة المبيعات الشهرية المستوردة (دون قيمة الضريبة المضافة) من سيجاريلو خلال عام 2015</t>
  </si>
  <si>
    <t>Table46: Value of imported monthly sales (withou VAT) of cigarillos  for 2015</t>
  </si>
  <si>
    <t>جدول47: قيمة المبيعات الشهرية المستوردة (دون قيمة الضريبة المضافة) من تبغ الغليون خلال عام 2015</t>
  </si>
  <si>
    <t>Table47: Value of imported monthly sales (withou VAT) of pipe tobacco  for 2015</t>
  </si>
  <si>
    <t>صفحة :1</t>
  </si>
  <si>
    <t>sheet : 1</t>
  </si>
  <si>
    <t>صفحة :1
sheet : 1</t>
  </si>
  <si>
    <t>صفحة :2
sheet : 2</t>
  </si>
  <si>
    <t>صفحة :3
sheet : 3</t>
  </si>
  <si>
    <t>صفحة :4
sheet : 4</t>
  </si>
  <si>
    <t>صفحة :5
sheet : 5</t>
  </si>
  <si>
    <t>صفحة :6
sheet : 6</t>
  </si>
  <si>
    <t>صفحة :7
sheet : 7</t>
  </si>
  <si>
    <t>صفحة :8
sheet : 8</t>
  </si>
  <si>
    <t>صفحة :9
sheet : 9</t>
  </si>
  <si>
    <t>صفحة :10
sheet : 10</t>
  </si>
  <si>
    <t>صفحة :11
sheet : 11</t>
  </si>
  <si>
    <t>صفحة :12
sheet : 12</t>
  </si>
  <si>
    <t>صفحة :13
sheet : 13</t>
  </si>
  <si>
    <t>صفحة :14
sheet : 14</t>
  </si>
  <si>
    <t>صفحة :15
sheet : 15</t>
  </si>
  <si>
    <t>صفحة :16
sheet : 16</t>
  </si>
  <si>
    <t>صفحة :17</t>
  </si>
  <si>
    <t>sheet : 17</t>
  </si>
  <si>
    <t>صفحة :18</t>
  </si>
  <si>
    <t>sheet : 18</t>
  </si>
  <si>
    <t>صفحة :19</t>
  </si>
  <si>
    <t>sheet : 19</t>
  </si>
  <si>
    <t xml:space="preserve">الصناعة 
Industry </t>
  </si>
  <si>
    <t xml:space="preserve">جدول 4: توزيع قيمة الصادرات الصناعية  بحسب  الدول  خلال النصف الاول من العام 2015
Table 4: Distribution of the value of industrial exports by Country  during the first semester 2015 </t>
  </si>
  <si>
    <t xml:space="preserve">جدول 5: توزيع قيمة الصادرات الصناعية الدول  خلال النصف الثاني من العام 2015
Table 5: Distribution of the value of industrial exports by Country  during the Second semester 2015 </t>
  </si>
  <si>
    <t xml:space="preserve">جدول 4: توزيع قيمة الصادرات الصناعية  بحسب الدول  خلال النصف الاول من العام 2015
Table 4: Distribution of the value of industrial exports by Country  during the first semester 2015 </t>
  </si>
  <si>
    <t xml:space="preserve">جدول 5: توزيع قيمة الصادرات الصناعية  بحسب الدول  خلال النصف الثاني من العام 2015
Table 5: Distribution of the value of industrial exports by Country  during the Second semester 2015 </t>
  </si>
  <si>
    <t>جدول 10: قيمة الواردات الشهرية من الالات والمعدات الصناعية بحسب البلد المصدر خلال العام 2015
Table 10: The value of monthly imports of machinery and industrial equipment by country during 2015</t>
  </si>
  <si>
    <t xml:space="preserve">كانون أول
 Decembe </t>
  </si>
  <si>
    <t>كانون أول
December</t>
  </si>
  <si>
    <t xml:space="preserve">كانون أول
December </t>
  </si>
  <si>
    <t>Table45: Value of imported monthly sales (withou VAT) of cigar  for 2015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</si>
</sst>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5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b/>
      <sz val="12"/>
      <name val="Times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1"/>
      <name val="Times New Roman"/>
      <family val="1"/>
    </font>
    <font>
      <b/>
      <sz val="12"/>
      <name val="Cambria"/>
      <family val="1"/>
      <scheme val="maj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name val="Simplified Arabic"/>
      <family val="1"/>
    </font>
    <font>
      <b/>
      <sz val="12"/>
      <color rgb="FF000000"/>
      <name val="Simplified Arabic"/>
      <family val="1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Simplified Arabic"/>
      <family val="1"/>
    </font>
    <font>
      <sz val="16"/>
      <color rgb="FF000000"/>
      <name val="Simplified Arabic"/>
      <family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Simplified Arabic"/>
      <family val="1"/>
    </font>
    <font>
      <sz val="11"/>
      <color rgb="FF000000"/>
      <name val="Simplified Arabic"/>
      <family val="1"/>
    </font>
    <font>
      <sz val="10"/>
      <color rgb="FF000000"/>
      <name val="Simplified Arabic"/>
      <family val="1"/>
    </font>
    <font>
      <sz val="10"/>
      <color rgb="FFFFFFFF"/>
      <name val="Simplified Arabic"/>
      <family val="1"/>
    </font>
    <font>
      <b/>
      <sz val="10"/>
      <color rgb="FF000000"/>
      <name val="Simplified Arabic"/>
      <family val="1"/>
    </font>
    <font>
      <b/>
      <sz val="11"/>
      <color rgb="FF000000"/>
      <name val="Calibri"/>
      <family val="2"/>
    </font>
    <font>
      <sz val="11"/>
      <name val="Times New Roman"/>
      <family val="1"/>
    </font>
    <font>
      <b/>
      <sz val="12"/>
      <color rgb="FFFFFFFF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rgb="FF222222"/>
      <name val="Times New Roman"/>
      <family val="1"/>
    </font>
    <font>
      <sz val="12"/>
      <name val="Times New Roman"/>
      <family val="1"/>
    </font>
    <font>
      <sz val="12"/>
      <color rgb="FF222222"/>
      <name val="Arial"/>
      <family val="2"/>
    </font>
    <font>
      <b/>
      <sz val="12"/>
      <color rgb="FF222222"/>
      <name val="Times"/>
      <family val="1"/>
    </font>
    <font>
      <b/>
      <sz val="12"/>
      <name val="Calibri"/>
      <family val="2"/>
      <scheme val="minor"/>
    </font>
    <font>
      <b/>
      <sz val="11"/>
      <color theme="1"/>
      <name val="Times New Roman"/>
      <family val="1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 style="medium">
        <color auto="1"/>
      </diagonal>
    </border>
    <border>
      <left style="thin">
        <color auto="1"/>
      </left>
      <right/>
      <top/>
      <bottom/>
      <diagonal/>
    </border>
    <border diagonalUp="1">
      <left style="medium">
        <color indexed="64"/>
      </left>
      <right style="medium">
        <color auto="1"/>
      </right>
      <top style="medium">
        <color indexed="64"/>
      </top>
      <bottom/>
      <diagonal style="medium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rgb="FF00678F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rgb="FF00678F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rgb="FF00678F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medium">
        <color indexed="64"/>
      </diagonal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rgb="FF00678F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1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double">
        <color rgb="FF3F3F3F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50" fillId="5" borderId="54" applyNumberFormat="0" applyAlignment="0" applyProtection="0"/>
  </cellStyleXfs>
  <cellXfs count="4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1" applyFont="1" applyFill="1" applyBorder="1" applyAlignment="1">
      <alignment horizontal="center" vertical="center" wrapText="1" readingOrder="1"/>
    </xf>
    <xf numFmtId="0" fontId="4" fillId="0" borderId="4" xfId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 readingOrder="1"/>
    </xf>
    <xf numFmtId="0" fontId="8" fillId="0" borderId="1" xfId="1" applyFont="1" applyFill="1" applyBorder="1" applyAlignment="1">
      <alignment horizontal="right" vertical="center" wrapText="1" readingOrder="1"/>
    </xf>
    <xf numFmtId="0" fontId="8" fillId="0" borderId="2" xfId="1" applyFont="1" applyFill="1" applyBorder="1" applyAlignment="1">
      <alignment horizontal="right" vertical="center" wrapText="1" readingOrder="1"/>
    </xf>
    <xf numFmtId="0" fontId="8" fillId="0" borderId="3" xfId="1" applyFont="1" applyFill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right" vertical="center" wrapText="1" readingOrder="1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Fill="1" applyAlignment="1">
      <alignment vertical="center" readingOrder="1"/>
    </xf>
    <xf numFmtId="0" fontId="15" fillId="0" borderId="0" xfId="0" applyFont="1" applyFill="1" applyAlignment="1">
      <alignment vertical="center" readingOrder="1"/>
    </xf>
    <xf numFmtId="0" fontId="16" fillId="0" borderId="0" xfId="0" applyFont="1" applyFill="1" applyAlignment="1">
      <alignment horizontal="right" vertical="center" readingOrder="1"/>
    </xf>
    <xf numFmtId="0" fontId="6" fillId="0" borderId="12" xfId="0" applyFont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vertical="center" wrapText="1" readingOrder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4" xfId="0" applyFon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0" borderId="0" xfId="2" applyFont="1" applyFill="1" applyBorder="1" applyAlignment="1">
      <alignment horizontal="right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Fill="1" applyBorder="1" applyAlignment="1">
      <alignment horizontal="right" wrapText="1"/>
    </xf>
    <xf numFmtId="3" fontId="0" fillId="0" borderId="0" xfId="0" applyNumberFormat="1" applyFill="1" applyBorder="1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 wrapText="1" readingOrder="1"/>
    </xf>
    <xf numFmtId="0" fontId="8" fillId="0" borderId="4" xfId="1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164" fontId="8" fillId="0" borderId="14" xfId="1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right" vertical="center"/>
    </xf>
    <xf numFmtId="3" fontId="9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wrapText="1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0" fillId="0" borderId="30" xfId="0" applyBorder="1"/>
    <xf numFmtId="0" fontId="9" fillId="0" borderId="31" xfId="0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readingOrder="1"/>
    </xf>
    <xf numFmtId="0" fontId="21" fillId="0" borderId="4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0" fontId="2" fillId="0" borderId="32" xfId="0" applyFont="1" applyBorder="1" applyAlignment="1">
      <alignment horizontal="right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0" borderId="16" xfId="2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3" fontId="12" fillId="0" borderId="2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textRotation="45"/>
    </xf>
    <xf numFmtId="0" fontId="25" fillId="0" borderId="5" xfId="1" applyFont="1" applyFill="1" applyBorder="1" applyAlignment="1">
      <alignment horizontal="center" vertical="center" wrapText="1" readingOrder="1"/>
    </xf>
    <xf numFmtId="0" fontId="26" fillId="0" borderId="4" xfId="0" applyFont="1" applyBorder="1" applyAlignment="1">
      <alignment horizontal="center" vertical="center" wrapText="1" readingOrder="1"/>
    </xf>
    <xf numFmtId="0" fontId="26" fillId="0" borderId="4" xfId="0" applyFont="1" applyBorder="1" applyAlignment="1">
      <alignment horizontal="center" vertical="center" wrapText="1" readingOrder="2"/>
    </xf>
    <xf numFmtId="0" fontId="27" fillId="0" borderId="4" xfId="0" applyFont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right" wrapText="1" readingOrder="2"/>
    </xf>
    <xf numFmtId="0" fontId="31" fillId="0" borderId="0" xfId="0" applyFont="1" applyAlignment="1">
      <alignment horizontal="right"/>
    </xf>
    <xf numFmtId="0" fontId="30" fillId="0" borderId="4" xfId="0" applyFont="1" applyBorder="1" applyAlignment="1">
      <alignment horizontal="center" vertical="center" wrapText="1" readingOrder="2"/>
    </xf>
    <xf numFmtId="0" fontId="32" fillId="0" borderId="37" xfId="0" applyFont="1" applyFill="1" applyBorder="1" applyAlignment="1">
      <alignment horizontal="center" vertical="center"/>
    </xf>
    <xf numFmtId="0" fontId="33" fillId="0" borderId="38" xfId="0" applyFont="1" applyBorder="1" applyAlignment="1">
      <alignment horizontal="center" vertical="center" wrapText="1" readingOrder="1"/>
    </xf>
    <xf numFmtId="0" fontId="30" fillId="0" borderId="39" xfId="0" applyFont="1" applyBorder="1" applyAlignment="1">
      <alignment horizontal="center" vertical="center" wrapText="1" readingOrder="1"/>
    </xf>
    <xf numFmtId="0" fontId="32" fillId="0" borderId="40" xfId="0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0" fontId="30" fillId="0" borderId="39" xfId="0" applyFont="1" applyBorder="1" applyAlignment="1">
      <alignment horizontal="center" vertical="center" wrapText="1" readingOrder="2"/>
    </xf>
    <xf numFmtId="0" fontId="30" fillId="0" borderId="38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right" readingOrder="2"/>
    </xf>
    <xf numFmtId="0" fontId="0" fillId="0" borderId="0" xfId="0" applyAlignment="1">
      <alignment horizontal="right"/>
    </xf>
    <xf numFmtId="0" fontId="34" fillId="0" borderId="0" xfId="0" applyFont="1" applyAlignment="1">
      <alignment horizontal="right" readingOrder="2"/>
    </xf>
    <xf numFmtId="0" fontId="3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 readingOrder="2"/>
    </xf>
    <xf numFmtId="0" fontId="5" fillId="0" borderId="0" xfId="0" applyFont="1" applyFill="1" applyBorder="1" applyAlignment="1">
      <alignment horizontal="right" vertical="center" wrapText="1" readingOrder="1"/>
    </xf>
    <xf numFmtId="0" fontId="5" fillId="0" borderId="42" xfId="0" applyFont="1" applyFill="1" applyBorder="1" applyAlignment="1">
      <alignment horizontal="right" vertical="center" wrapText="1" readingOrder="1"/>
    </xf>
    <xf numFmtId="0" fontId="26" fillId="0" borderId="0" xfId="0" applyFont="1" applyAlignment="1">
      <alignment horizontal="right" readingOrder="2"/>
    </xf>
    <xf numFmtId="0" fontId="32" fillId="0" borderId="5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1" fillId="0" borderId="0" xfId="0" applyFont="1"/>
    <xf numFmtId="0" fontId="32" fillId="0" borderId="4" xfId="0" applyFont="1" applyFill="1" applyBorder="1" applyAlignment="1">
      <alignment vertical="center" wrapText="1"/>
    </xf>
    <xf numFmtId="0" fontId="30" fillId="0" borderId="0" xfId="0" applyFont="1" applyBorder="1" applyAlignment="1">
      <alignment horizontal="right" wrapText="1" readingOrder="2"/>
    </xf>
    <xf numFmtId="0" fontId="36" fillId="0" borderId="0" xfId="0" applyFont="1" applyBorder="1" applyAlignment="1">
      <alignment horizontal="right" wrapText="1" readingOrder="2"/>
    </xf>
    <xf numFmtId="0" fontId="32" fillId="0" borderId="3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readingOrder="1"/>
    </xf>
    <xf numFmtId="0" fontId="13" fillId="0" borderId="42" xfId="0" applyFont="1" applyFill="1" applyBorder="1" applyAlignment="1">
      <alignment horizontal="right" vertical="center" wrapText="1" readingOrder="1"/>
    </xf>
    <xf numFmtId="0" fontId="32" fillId="0" borderId="35" xfId="0" applyFont="1" applyFill="1" applyBorder="1" applyAlignment="1">
      <alignment vertical="center" wrapText="1" readingOrder="2"/>
    </xf>
    <xf numFmtId="0" fontId="30" fillId="0" borderId="38" xfId="0" applyFont="1" applyBorder="1" applyAlignment="1">
      <alignment horizontal="center" vertical="center" wrapText="1" readingOrder="2"/>
    </xf>
    <xf numFmtId="0" fontId="30" fillId="0" borderId="5" xfId="0" applyFont="1" applyBorder="1" applyAlignment="1">
      <alignment horizontal="center" vertical="center" wrapText="1" readingOrder="2"/>
    </xf>
    <xf numFmtId="0" fontId="37" fillId="0" borderId="0" xfId="0" applyFont="1" applyBorder="1" applyAlignment="1">
      <alignment horizontal="right" wrapText="1" readingOrder="2"/>
    </xf>
    <xf numFmtId="0" fontId="30" fillId="0" borderId="9" xfId="0" applyFont="1" applyBorder="1" applyAlignment="1">
      <alignment horizontal="center" vertical="center" wrapText="1" readingOrder="2"/>
    </xf>
    <xf numFmtId="0" fontId="24" fillId="0" borderId="4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43" fontId="3" fillId="0" borderId="4" xfId="3" applyFont="1" applyBorder="1" applyAlignment="1">
      <alignment horizontal="center" vertical="center"/>
    </xf>
    <xf numFmtId="43" fontId="3" fillId="0" borderId="4" xfId="3" applyFont="1" applyFill="1" applyBorder="1" applyAlignment="1">
      <alignment horizontal="center" vertical="center"/>
    </xf>
    <xf numFmtId="43" fontId="2" fillId="0" borderId="4" xfId="3" applyFont="1" applyBorder="1" applyAlignment="1">
      <alignment horizontal="center" vertical="center"/>
    </xf>
    <xf numFmtId="43" fontId="3" fillId="0" borderId="6" xfId="3" applyFont="1" applyBorder="1" applyAlignment="1">
      <alignment horizontal="center" vertical="center"/>
    </xf>
    <xf numFmtId="43" fontId="3" fillId="0" borderId="19" xfId="3" applyFont="1" applyBorder="1" applyAlignment="1">
      <alignment horizontal="center" vertical="center"/>
    </xf>
    <xf numFmtId="43" fontId="3" fillId="0" borderId="7" xfId="3" applyFont="1" applyBorder="1" applyAlignment="1">
      <alignment horizontal="center" vertical="center"/>
    </xf>
    <xf numFmtId="43" fontId="2" fillId="0" borderId="19" xfId="3" applyFont="1" applyBorder="1" applyAlignment="1">
      <alignment horizontal="center" vertical="center"/>
    </xf>
    <xf numFmtId="43" fontId="2" fillId="4" borderId="4" xfId="3" applyFont="1" applyFill="1" applyBorder="1" applyAlignment="1">
      <alignment horizontal="center" vertical="center"/>
    </xf>
    <xf numFmtId="43" fontId="2" fillId="0" borderId="7" xfId="3" applyFont="1" applyBorder="1" applyAlignment="1">
      <alignment horizontal="center" vertical="center"/>
    </xf>
    <xf numFmtId="43" fontId="2" fillId="0" borderId="19" xfId="3" applyFont="1" applyFill="1" applyBorder="1" applyAlignment="1">
      <alignment horizontal="center" vertical="center"/>
    </xf>
    <xf numFmtId="0" fontId="35" fillId="0" borderId="38" xfId="0" applyFont="1" applyBorder="1" applyAlignment="1">
      <alignment horizontal="center" vertical="center" wrapText="1" readingOrder="2"/>
    </xf>
    <xf numFmtId="0" fontId="35" fillId="0" borderId="5" xfId="0" applyFont="1" applyBorder="1" applyAlignment="1">
      <alignment horizontal="center" vertical="center" wrapText="1" readingOrder="2"/>
    </xf>
    <xf numFmtId="0" fontId="0" fillId="0" borderId="5" xfId="0" applyBorder="1" applyAlignment="1">
      <alignment horizontal="center" vertical="center"/>
    </xf>
    <xf numFmtId="0" fontId="36" fillId="0" borderId="39" xfId="0" applyFont="1" applyBorder="1" applyAlignment="1">
      <alignment horizontal="center" vertical="center" wrapText="1" readingOrder="2"/>
    </xf>
    <xf numFmtId="0" fontId="36" fillId="0" borderId="38" xfId="0" applyFont="1" applyBorder="1" applyAlignment="1">
      <alignment horizontal="center" vertical="center" wrapText="1" readingOrder="2"/>
    </xf>
    <xf numFmtId="0" fontId="36" fillId="0" borderId="5" xfId="0" applyFont="1" applyBorder="1" applyAlignment="1">
      <alignment horizontal="center" vertical="center" wrapText="1" readingOrder="2"/>
    </xf>
    <xf numFmtId="0" fontId="26" fillId="0" borderId="38" xfId="0" applyFont="1" applyBorder="1" applyAlignment="1">
      <alignment horizontal="center" vertical="center" wrapText="1" readingOrder="1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39" xfId="0" applyFont="1" applyBorder="1" applyAlignment="1">
      <alignment horizontal="center" vertical="center" wrapText="1" readingOrder="1"/>
    </xf>
    <xf numFmtId="0" fontId="27" fillId="0" borderId="38" xfId="0" applyFont="1" applyBorder="1" applyAlignment="1">
      <alignment horizontal="center" vertical="center" wrapText="1" readingOrder="1"/>
    </xf>
    <xf numFmtId="0" fontId="35" fillId="0" borderId="42" xfId="0" applyFont="1" applyBorder="1" applyAlignment="1">
      <alignment horizontal="center" vertical="center" wrapText="1" readingOrder="2"/>
    </xf>
    <xf numFmtId="0" fontId="36" fillId="0" borderId="39" xfId="0" applyFont="1" applyBorder="1" applyAlignment="1">
      <alignment horizontal="center" vertical="center" wrapText="1" readingOrder="1"/>
    </xf>
    <xf numFmtId="0" fontId="37" fillId="0" borderId="39" xfId="0" applyFont="1" applyBorder="1" applyAlignment="1">
      <alignment horizontal="right" wrapText="1" readingOrder="2"/>
    </xf>
    <xf numFmtId="0" fontId="39" fillId="0" borderId="0" xfId="0" applyFont="1" applyAlignment="1">
      <alignment horizontal="right" readingOrder="2"/>
    </xf>
    <xf numFmtId="0" fontId="40" fillId="0" borderId="0" xfId="0" applyFont="1" applyAlignment="1">
      <alignment horizontal="right" readingOrder="2"/>
    </xf>
    <xf numFmtId="0" fontId="32" fillId="0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 readingOrder="2"/>
    </xf>
    <xf numFmtId="0" fontId="36" fillId="0" borderId="0" xfId="0" applyFont="1" applyBorder="1" applyAlignment="1">
      <alignment horizontal="center" vertical="center" wrapText="1" readingOrder="1"/>
    </xf>
    <xf numFmtId="0" fontId="41" fillId="0" borderId="0" xfId="0" applyFont="1" applyBorder="1" applyAlignment="1">
      <alignment horizontal="right" wrapText="1" readingOrder="2"/>
    </xf>
    <xf numFmtId="0" fontId="41" fillId="0" borderId="0" xfId="0" applyFont="1" applyBorder="1" applyAlignment="1">
      <alignment horizontal="right" wrapText="1" readingOrder="1"/>
    </xf>
    <xf numFmtId="0" fontId="37" fillId="0" borderId="39" xfId="0" applyFont="1" applyBorder="1" applyAlignment="1">
      <alignment horizontal="right" vertical="center" wrapText="1" readingOrder="2"/>
    </xf>
    <xf numFmtId="0" fontId="33" fillId="0" borderId="42" xfId="0" applyFont="1" applyBorder="1" applyAlignment="1">
      <alignment horizontal="center" vertical="center" wrapText="1" readingOrder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 readingOrder="2"/>
    </xf>
    <xf numFmtId="0" fontId="2" fillId="0" borderId="1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 readingOrder="2"/>
    </xf>
    <xf numFmtId="0" fontId="32" fillId="0" borderId="46" xfId="0" applyFont="1" applyFill="1" applyBorder="1" applyAlignment="1">
      <alignment vertical="center" wrapText="1" readingOrder="2"/>
    </xf>
    <xf numFmtId="0" fontId="30" fillId="0" borderId="47" xfId="0" applyFont="1" applyBorder="1" applyAlignment="1">
      <alignment horizontal="center" vertical="center" wrapText="1" readingOrder="2"/>
    </xf>
    <xf numFmtId="0" fontId="30" fillId="0" borderId="4" xfId="0" applyFont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right" vertical="center" wrapText="1" readingOrder="1"/>
    </xf>
    <xf numFmtId="0" fontId="41" fillId="0" borderId="39" xfId="0" applyFont="1" applyBorder="1" applyAlignment="1">
      <alignment horizontal="right" wrapText="1" readingOrder="2"/>
    </xf>
    <xf numFmtId="0" fontId="39" fillId="0" borderId="38" xfId="0" applyFont="1" applyBorder="1" applyAlignment="1">
      <alignment horizontal="center" vertical="center" wrapText="1" readingOrder="1"/>
    </xf>
    <xf numFmtId="0" fontId="41" fillId="0" borderId="5" xfId="0" applyFont="1" applyBorder="1" applyAlignment="1">
      <alignment horizontal="center" vertical="center" wrapText="1" readingOrder="1"/>
    </xf>
    <xf numFmtId="0" fontId="41" fillId="0" borderId="39" xfId="0" applyFont="1" applyBorder="1" applyAlignment="1">
      <alignment horizontal="center" vertical="center" wrapText="1" readingOrder="1"/>
    </xf>
    <xf numFmtId="0" fontId="41" fillId="0" borderId="38" xfId="0" applyFont="1" applyBorder="1" applyAlignment="1">
      <alignment horizontal="center" vertical="center" wrapText="1" readingOrder="1"/>
    </xf>
    <xf numFmtId="0" fontId="41" fillId="0" borderId="39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 readingOrder="2"/>
    </xf>
    <xf numFmtId="0" fontId="30" fillId="0" borderId="9" xfId="0" applyFont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right" vertical="center" wrapText="1" readingOrder="1"/>
    </xf>
    <xf numFmtId="0" fontId="41" fillId="0" borderId="0" xfId="0" applyFont="1" applyBorder="1" applyAlignment="1">
      <alignment horizontal="right" wrapText="1" readingOrder="2"/>
    </xf>
    <xf numFmtId="0" fontId="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right" vertical="center" wrapText="1" readingOrder="1"/>
    </xf>
    <xf numFmtId="0" fontId="42" fillId="0" borderId="44" xfId="0" applyFont="1" applyBorder="1" applyAlignment="1">
      <alignment vertical="center" wrapText="1" readingOrder="2"/>
    </xf>
    <xf numFmtId="0" fontId="32" fillId="0" borderId="4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 readingOrder="1"/>
    </xf>
    <xf numFmtId="0" fontId="37" fillId="0" borderId="39" xfId="0" applyFont="1" applyBorder="1" applyAlignment="1">
      <alignment horizontal="center" vertical="center" wrapText="1" readingOrder="1"/>
    </xf>
    <xf numFmtId="0" fontId="35" fillId="0" borderId="38" xfId="0" applyFont="1" applyBorder="1" applyAlignment="1">
      <alignment horizontal="center" wrapText="1" readingOrder="2"/>
    </xf>
    <xf numFmtId="0" fontId="36" fillId="0" borderId="39" xfId="0" applyFont="1" applyBorder="1" applyAlignment="1">
      <alignment horizontal="center" wrapText="1" readingOrder="2"/>
    </xf>
    <xf numFmtId="0" fontId="36" fillId="0" borderId="38" xfId="0" applyFont="1" applyBorder="1" applyAlignment="1">
      <alignment horizontal="center" wrapText="1" readingOrder="2"/>
    </xf>
    <xf numFmtId="0" fontId="32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wrapText="1" readingOrder="2"/>
    </xf>
    <xf numFmtId="0" fontId="37" fillId="0" borderId="5" xfId="0" applyFont="1" applyBorder="1" applyAlignment="1">
      <alignment horizontal="center" vertical="center" wrapText="1" readingOrder="1"/>
    </xf>
    <xf numFmtId="0" fontId="37" fillId="0" borderId="25" xfId="0" applyFont="1" applyBorder="1" applyAlignment="1">
      <alignment horizontal="right" wrapText="1" readingOrder="2"/>
    </xf>
    <xf numFmtId="0" fontId="38" fillId="0" borderId="48" xfId="0" applyFont="1" applyBorder="1" applyAlignment="1">
      <alignment horizontal="center" vertical="center" wrapText="1" readingOrder="1"/>
    </xf>
    <xf numFmtId="0" fontId="37" fillId="0" borderId="25" xfId="0" applyFont="1" applyBorder="1" applyAlignment="1">
      <alignment horizontal="center" vertical="center" wrapText="1" readingOrder="1"/>
    </xf>
    <xf numFmtId="0" fontId="30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5" fillId="0" borderId="0" xfId="0" applyFont="1" applyBorder="1" applyAlignment="1">
      <alignment horizontal="right" wrapText="1" readingOrder="2"/>
    </xf>
    <xf numFmtId="0" fontId="37" fillId="0" borderId="4" xfId="0" applyFont="1" applyBorder="1" applyAlignment="1">
      <alignment horizontal="center" vertical="center" wrapText="1" readingOrder="2"/>
    </xf>
    <xf numFmtId="0" fontId="35" fillId="0" borderId="4" xfId="0" applyFont="1" applyBorder="1" applyAlignment="1">
      <alignment horizontal="center" vertical="center" wrapText="1" readingOrder="2"/>
    </xf>
    <xf numFmtId="0" fontId="36" fillId="0" borderId="4" xfId="0" applyFont="1" applyBorder="1" applyAlignment="1">
      <alignment horizontal="center" vertical="center" wrapText="1" readingOrder="2"/>
    </xf>
    <xf numFmtId="0" fontId="38" fillId="0" borderId="4" xfId="0" applyFont="1" applyBorder="1" applyAlignment="1">
      <alignment horizontal="center" vertical="center" wrapText="1" readingOrder="1"/>
    </xf>
    <xf numFmtId="0" fontId="37" fillId="0" borderId="4" xfId="0" applyFont="1" applyBorder="1" applyAlignment="1">
      <alignment horizontal="center" vertical="center" wrapText="1" readingOrder="1"/>
    </xf>
    <xf numFmtId="0" fontId="5" fillId="0" borderId="49" xfId="0" applyFont="1" applyFill="1" applyBorder="1" applyAlignment="1">
      <alignment horizontal="right" vertical="center" wrapText="1" readingOrder="2"/>
    </xf>
    <xf numFmtId="0" fontId="37" fillId="0" borderId="4" xfId="0" applyFont="1" applyBorder="1" applyAlignment="1">
      <alignment horizontal="right" vertical="center" wrapText="1" readingOrder="2"/>
    </xf>
    <xf numFmtId="0" fontId="37" fillId="0" borderId="0" xfId="0" applyFont="1" applyBorder="1" applyAlignment="1">
      <alignment horizontal="center" vertical="center" wrapText="1" readingOrder="1"/>
    </xf>
    <xf numFmtId="0" fontId="37" fillId="0" borderId="0" xfId="0" applyFont="1" applyBorder="1" applyAlignment="1">
      <alignment horizontal="center" vertical="center" wrapText="1" readingOrder="2"/>
    </xf>
    <xf numFmtId="0" fontId="35" fillId="0" borderId="48" xfId="0" applyFont="1" applyBorder="1" applyAlignment="1">
      <alignment horizontal="center" vertical="center" wrapText="1" readingOrder="2"/>
    </xf>
    <xf numFmtId="0" fontId="36" fillId="0" borderId="25" xfId="0" applyFont="1" applyBorder="1" applyAlignment="1">
      <alignment horizontal="center" vertical="center" wrapText="1" readingOrder="2"/>
    </xf>
    <xf numFmtId="0" fontId="30" fillId="0" borderId="8" xfId="0" applyFont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right" wrapText="1" readingOrder="2"/>
    </xf>
    <xf numFmtId="0" fontId="30" fillId="0" borderId="4" xfId="0" applyFont="1" applyBorder="1" applyAlignment="1">
      <alignment horizontal="center" vertical="center" wrapText="1" readingOrder="2"/>
    </xf>
    <xf numFmtId="0" fontId="43" fillId="0" borderId="0" xfId="0" applyFont="1" applyFill="1" applyAlignment="1">
      <alignment horizontal="right"/>
    </xf>
    <xf numFmtId="0" fontId="45" fillId="0" borderId="0" xfId="0" applyFont="1" applyFill="1" applyAlignment="1">
      <alignment horizontal="right"/>
    </xf>
    <xf numFmtId="0" fontId="45" fillId="0" borderId="0" xfId="0" applyFont="1" applyAlignment="1">
      <alignment horizontal="right"/>
    </xf>
    <xf numFmtId="0" fontId="45" fillId="0" borderId="0" xfId="0" applyFont="1"/>
    <xf numFmtId="0" fontId="46" fillId="0" borderId="39" xfId="0" applyFont="1" applyBorder="1" applyAlignment="1">
      <alignment horizontal="center" vertical="center" wrapText="1" readingOrder="2"/>
    </xf>
    <xf numFmtId="0" fontId="47" fillId="0" borderId="38" xfId="0" applyFont="1" applyBorder="1" applyAlignment="1">
      <alignment horizontal="center" vertical="center" wrapText="1" readingOrder="1"/>
    </xf>
    <xf numFmtId="0" fontId="46" fillId="0" borderId="39" xfId="0" applyFont="1" applyBorder="1" applyAlignment="1">
      <alignment horizontal="center" vertical="center" wrapText="1" readingOrder="1"/>
    </xf>
    <xf numFmtId="0" fontId="46" fillId="0" borderId="38" xfId="0" applyFont="1" applyBorder="1" applyAlignment="1">
      <alignment horizontal="center" vertical="center" wrapText="1" readingOrder="1"/>
    </xf>
    <xf numFmtId="0" fontId="46" fillId="0" borderId="39" xfId="0" applyFont="1" applyBorder="1" applyAlignment="1">
      <alignment horizontal="right" vertical="center" wrapText="1" shrinkToFit="1" readingOrder="2"/>
    </xf>
    <xf numFmtId="0" fontId="46" fillId="0" borderId="39" xfId="0" applyFont="1" applyBorder="1" applyAlignment="1">
      <alignment horizontal="right" vertical="center" wrapText="1" readingOrder="2"/>
    </xf>
    <xf numFmtId="0" fontId="46" fillId="0" borderId="0" xfId="0" applyFont="1" applyBorder="1" applyAlignment="1">
      <alignment horizontal="center" vertical="center" wrapText="1" readingOrder="2"/>
    </xf>
    <xf numFmtId="0" fontId="46" fillId="0" borderId="0" xfId="0" applyFont="1" applyBorder="1" applyAlignment="1">
      <alignment horizontal="center" vertical="center" wrapText="1" readingOrder="1"/>
    </xf>
    <xf numFmtId="0" fontId="41" fillId="0" borderId="39" xfId="0" applyFont="1" applyBorder="1" applyAlignment="1">
      <alignment horizontal="right" vertical="center" wrapText="1" shrinkToFit="1" readingOrder="2"/>
    </xf>
    <xf numFmtId="0" fontId="27" fillId="0" borderId="39" xfId="0" applyFont="1" applyBorder="1" applyAlignment="1">
      <alignment horizontal="right" vertical="center" wrapText="1" readingOrder="2"/>
    </xf>
    <xf numFmtId="0" fontId="45" fillId="0" borderId="0" xfId="0" applyFont="1" applyAlignment="1">
      <alignment horizontal="right" vertical="center"/>
    </xf>
    <xf numFmtId="0" fontId="41" fillId="0" borderId="39" xfId="0" applyFont="1" applyBorder="1" applyAlignment="1">
      <alignment horizontal="right" vertical="center" wrapText="1" readingOrder="2"/>
    </xf>
    <xf numFmtId="0" fontId="27" fillId="0" borderId="38" xfId="0" applyFont="1" applyBorder="1" applyAlignment="1">
      <alignment horizontal="right" vertical="center" wrapText="1" readingOrder="2"/>
    </xf>
    <xf numFmtId="0" fontId="26" fillId="0" borderId="38" xfId="0" applyFont="1" applyBorder="1" applyAlignment="1">
      <alignment horizontal="center" vertical="center" wrapText="1" readingOrder="2"/>
    </xf>
    <xf numFmtId="0" fontId="27" fillId="0" borderId="39" xfId="0" applyFont="1" applyBorder="1" applyAlignment="1">
      <alignment horizontal="center" vertical="center" wrapText="1" readingOrder="2"/>
    </xf>
    <xf numFmtId="0" fontId="27" fillId="0" borderId="38" xfId="0" applyFont="1" applyBorder="1" applyAlignment="1">
      <alignment horizontal="center" vertical="center" wrapText="1" readingOrder="2"/>
    </xf>
    <xf numFmtId="0" fontId="5" fillId="0" borderId="49" xfId="0" applyFont="1" applyFill="1" applyBorder="1" applyAlignment="1">
      <alignment vertical="center" wrapText="1" readingOrder="2"/>
    </xf>
    <xf numFmtId="0" fontId="5" fillId="0" borderId="51" xfId="0" applyFont="1" applyFill="1" applyBorder="1" applyAlignment="1">
      <alignment horizontal="right" vertical="center" wrapText="1" readingOrder="2"/>
    </xf>
    <xf numFmtId="0" fontId="44" fillId="0" borderId="0" xfId="0" applyFont="1" applyFill="1" applyBorder="1" applyAlignment="1">
      <alignment horizontal="right" vertical="center" wrapText="1" readingOrder="2"/>
    </xf>
    <xf numFmtId="0" fontId="46" fillId="0" borderId="4" xfId="0" applyFont="1" applyBorder="1" applyAlignment="1">
      <alignment horizontal="center" vertical="center" wrapText="1" readingOrder="2"/>
    </xf>
    <xf numFmtId="0" fontId="46" fillId="0" borderId="50" xfId="0" applyFont="1" applyBorder="1" applyAlignment="1">
      <alignment horizontal="center" vertical="center" wrapText="1" readingOrder="1"/>
    </xf>
    <xf numFmtId="0" fontId="46" fillId="0" borderId="0" xfId="0" applyFont="1" applyBorder="1" applyAlignment="1">
      <alignment horizontal="right" wrapText="1" readingOrder="2"/>
    </xf>
    <xf numFmtId="0" fontId="46" fillId="0" borderId="0" xfId="0" applyFont="1" applyBorder="1" applyAlignment="1">
      <alignment horizontal="right" wrapText="1" readingOrder="1"/>
    </xf>
    <xf numFmtId="0" fontId="46" fillId="0" borderId="4" xfId="0" applyFont="1" applyBorder="1" applyAlignment="1">
      <alignment horizontal="center" vertical="center" wrapText="1" readingOrder="1"/>
    </xf>
    <xf numFmtId="0" fontId="44" fillId="0" borderId="0" xfId="0" applyFont="1" applyFill="1" applyBorder="1" applyAlignment="1">
      <alignment horizontal="right" wrapText="1" readingOrder="2"/>
    </xf>
    <xf numFmtId="0" fontId="43" fillId="0" borderId="0" xfId="0" applyFont="1" applyFill="1" applyBorder="1" applyAlignment="1">
      <alignment horizontal="right"/>
    </xf>
    <xf numFmtId="0" fontId="48" fillId="0" borderId="38" xfId="0" applyFont="1" applyBorder="1" applyAlignment="1">
      <alignment horizontal="center" vertical="center" wrapText="1" readingOrder="1"/>
    </xf>
    <xf numFmtId="0" fontId="49" fillId="0" borderId="39" xfId="0" applyFont="1" applyBorder="1" applyAlignment="1">
      <alignment horizontal="center" vertical="center" wrapText="1" readingOrder="1"/>
    </xf>
    <xf numFmtId="0" fontId="49" fillId="0" borderId="38" xfId="0" applyFont="1" applyBorder="1" applyAlignment="1">
      <alignment horizontal="center" vertical="center" wrapText="1" readingOrder="1"/>
    </xf>
    <xf numFmtId="0" fontId="27" fillId="0" borderId="5" xfId="0" applyFont="1" applyBorder="1" applyAlignment="1">
      <alignment horizontal="center" vertical="center" wrapText="1" readingOrder="2"/>
    </xf>
    <xf numFmtId="0" fontId="38" fillId="0" borderId="39" xfId="0" applyFont="1" applyBorder="1" applyAlignment="1">
      <alignment horizontal="center" vertical="center" wrapText="1" readingOrder="1"/>
    </xf>
    <xf numFmtId="0" fontId="37" fillId="0" borderId="38" xfId="0" applyFont="1" applyBorder="1" applyAlignment="1">
      <alignment horizontal="center" vertical="center" wrapText="1" readingOrder="1"/>
    </xf>
    <xf numFmtId="0" fontId="5" fillId="0" borderId="51" xfId="0" applyFont="1" applyFill="1" applyBorder="1" applyAlignment="1">
      <alignment vertical="center" wrapText="1" readingOrder="2"/>
    </xf>
    <xf numFmtId="0" fontId="35" fillId="0" borderId="39" xfId="0" applyFont="1" applyBorder="1" applyAlignment="1">
      <alignment horizontal="center" vertical="center" wrapText="1" readingOrder="2"/>
    </xf>
    <xf numFmtId="0" fontId="2" fillId="0" borderId="0" xfId="0" applyFont="1" applyFill="1"/>
    <xf numFmtId="0" fontId="51" fillId="0" borderId="0" xfId="0" applyFont="1" applyFill="1" applyAlignment="1">
      <alignment horizontal="right"/>
    </xf>
    <xf numFmtId="0" fontId="5" fillId="0" borderId="55" xfId="4" applyFont="1" applyFill="1" applyBorder="1" applyAlignment="1">
      <alignment horizontal="right" vertical="center" wrapText="1" readingOrder="1"/>
    </xf>
    <xf numFmtId="0" fontId="5" fillId="0" borderId="56" xfId="1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left"/>
    </xf>
    <xf numFmtId="4" fontId="3" fillId="0" borderId="4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5" fillId="0" borderId="54" xfId="4" applyFont="1" applyFill="1" applyAlignment="1">
      <alignment horizontal="center" vertical="center" wrapText="1"/>
    </xf>
    <xf numFmtId="4" fontId="5" fillId="0" borderId="54" xfId="4" applyNumberFormat="1" applyFont="1" applyFill="1" applyAlignment="1">
      <alignment horizontal="center" vertical="center"/>
    </xf>
    <xf numFmtId="0" fontId="2" fillId="0" borderId="4" xfId="0" applyFont="1" applyFill="1" applyBorder="1"/>
    <xf numFmtId="4" fontId="3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3" fontId="5" fillId="0" borderId="54" xfId="4" applyNumberFormat="1" applyFont="1" applyFill="1" applyAlignment="1">
      <alignment horizontal="center" vertical="center"/>
    </xf>
    <xf numFmtId="3" fontId="3" fillId="0" borderId="0" xfId="0" applyNumberFormat="1" applyFont="1" applyFill="1"/>
    <xf numFmtId="0" fontId="5" fillId="0" borderId="4" xfId="4" applyFont="1" applyFill="1" applyBorder="1" applyAlignment="1">
      <alignment horizontal="center" vertical="center" wrapText="1" readingOrder="1"/>
    </xf>
    <xf numFmtId="0" fontId="52" fillId="0" borderId="4" xfId="1" applyFont="1" applyFill="1" applyBorder="1" applyAlignment="1">
      <alignment horizontal="center" vertical="center" wrapText="1" readingOrder="1"/>
    </xf>
    <xf numFmtId="4" fontId="52" fillId="0" borderId="4" xfId="4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 vertical="center" wrapText="1" readingOrder="1"/>
    </xf>
    <xf numFmtId="4" fontId="5" fillId="0" borderId="4" xfId="4" applyNumberFormat="1" applyFont="1" applyFill="1" applyBorder="1" applyAlignment="1">
      <alignment horizontal="center" vertical="center" wrapText="1" readingOrder="1"/>
    </xf>
    <xf numFmtId="0" fontId="5" fillId="0" borderId="54" xfId="4" applyFont="1" applyFill="1" applyAlignment="1">
      <alignment horizontal="center" vertical="center" wrapText="1" readingOrder="1"/>
    </xf>
    <xf numFmtId="0" fontId="52" fillId="0" borderId="56" xfId="1" applyFont="1" applyFill="1" applyBorder="1" applyAlignment="1">
      <alignment horizontal="center" vertical="center" wrapText="1" readingOrder="1"/>
    </xf>
    <xf numFmtId="3" fontId="52" fillId="0" borderId="54" xfId="4" applyNumberFormat="1" applyFont="1" applyFill="1" applyAlignment="1">
      <alignment horizontal="center"/>
    </xf>
    <xf numFmtId="3" fontId="5" fillId="0" borderId="54" xfId="4" applyNumberFormat="1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2" fontId="2" fillId="0" borderId="4" xfId="0" applyNumberFormat="1" applyFont="1" applyFill="1" applyBorder="1"/>
    <xf numFmtId="2" fontId="3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5" fillId="0" borderId="54" xfId="4" applyNumberFormat="1" applyFont="1" applyFill="1" applyAlignment="1">
      <alignment horizontal="center" vertical="center"/>
    </xf>
    <xf numFmtId="3" fontId="52" fillId="0" borderId="54" xfId="4" applyNumberFormat="1" applyFont="1" applyFill="1" applyAlignment="1">
      <alignment horizontal="center" vertical="center"/>
    </xf>
    <xf numFmtId="3" fontId="4" fillId="0" borderId="54" xfId="4" applyNumberFormat="1" applyFont="1" applyFill="1" applyAlignment="1">
      <alignment horizontal="center"/>
    </xf>
    <xf numFmtId="3" fontId="4" fillId="0" borderId="54" xfId="4" applyNumberFormat="1" applyFont="1" applyFill="1" applyAlignment="1">
      <alignment horizontal="center" vertical="center" wrapText="1" readingOrder="1"/>
    </xf>
    <xf numFmtId="3" fontId="4" fillId="0" borderId="54" xfId="4" applyNumberFormat="1" applyFont="1" applyFill="1" applyAlignment="1">
      <alignment horizontal="center" vertical="center"/>
    </xf>
    <xf numFmtId="0" fontId="53" fillId="0" borderId="0" xfId="0" applyFont="1"/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wrapText="1" readingOrder="2"/>
    </xf>
    <xf numFmtId="0" fontId="5" fillId="0" borderId="0" xfId="0" applyFont="1" applyFill="1" applyBorder="1" applyAlignment="1">
      <alignment horizontal="right" vertical="center" wrapText="1" readingOrder="1"/>
    </xf>
    <xf numFmtId="0" fontId="5" fillId="0" borderId="0" xfId="0" applyFont="1" applyFill="1" applyBorder="1" applyAlignment="1">
      <alignment horizontal="right" vertical="center" wrapText="1" readingOrder="2"/>
    </xf>
    <xf numFmtId="0" fontId="54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22" fillId="0" borderId="0" xfId="0" applyFont="1" applyBorder="1" applyAlignment="1">
      <alignment horizontal="right" wrapText="1"/>
    </xf>
    <xf numFmtId="0" fontId="9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 textRotation="45"/>
    </xf>
    <xf numFmtId="0" fontId="55" fillId="0" borderId="0" xfId="0" applyFont="1" applyFill="1" applyBorder="1" applyAlignment="1">
      <alignment horizontal="right" vertical="center"/>
    </xf>
    <xf numFmtId="0" fontId="55" fillId="0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readingOrder="2"/>
    </xf>
    <xf numFmtId="0" fontId="4" fillId="0" borderId="0" xfId="0" applyFont="1" applyFill="1" applyBorder="1" applyAlignment="1">
      <alignment horizontal="right" vertical="center" readingOrder="1"/>
    </xf>
    <xf numFmtId="0" fontId="16" fillId="0" borderId="0" xfId="0" applyFont="1" applyFill="1" applyBorder="1" applyAlignment="1">
      <alignment horizontal="right" vertical="center" readingOrder="1"/>
    </xf>
    <xf numFmtId="0" fontId="4" fillId="0" borderId="0" xfId="0" applyFont="1" applyFill="1" applyBorder="1" applyAlignment="1">
      <alignment horizontal="right" vertical="center" wrapText="1" readingOrder="1"/>
    </xf>
    <xf numFmtId="0" fontId="56" fillId="0" borderId="0" xfId="0" applyFont="1" applyBorder="1" applyAlignment="1">
      <alignment horizontal="right"/>
    </xf>
    <xf numFmtId="0" fontId="49" fillId="0" borderId="0" xfId="0" applyFont="1" applyBorder="1" applyAlignment="1">
      <alignment horizontal="right" readingOrder="2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57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5" fillId="0" borderId="34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vertical="center" wrapText="1" readingOrder="2"/>
    </xf>
    <xf numFmtId="0" fontId="5" fillId="0" borderId="0" xfId="0" applyFont="1" applyFill="1" applyBorder="1" applyAlignment="1">
      <alignment horizontal="right" wrapText="1" readingOrder="2"/>
    </xf>
    <xf numFmtId="0" fontId="5" fillId="0" borderId="0" xfId="0" applyFont="1" applyFill="1" applyBorder="1" applyAlignment="1">
      <alignment horizontal="right" vertical="center" wrapText="1" readingOrder="1"/>
    </xf>
    <xf numFmtId="0" fontId="4" fillId="0" borderId="0" xfId="0" applyFont="1" applyFill="1" applyBorder="1" applyAlignment="1">
      <alignment horizontal="right" vertical="center" wrapText="1" readingOrder="1"/>
    </xf>
    <xf numFmtId="0" fontId="54" fillId="0" borderId="0" xfId="0" applyFont="1" applyFill="1" applyAlignment="1">
      <alignment horizontal="right"/>
    </xf>
    <xf numFmtId="0" fontId="9" fillId="0" borderId="13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 wrapText="1" readingOrder="1"/>
    </xf>
    <xf numFmtId="0" fontId="13" fillId="0" borderId="0" xfId="0" applyFont="1" applyFill="1" applyAlignment="1">
      <alignment horizontal="right" vertical="center" readingOrder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34" xfId="0" applyFont="1" applyFill="1" applyBorder="1" applyAlignment="1">
      <alignment horizontal="right" wrapText="1" readingOrder="2"/>
    </xf>
    <xf numFmtId="0" fontId="13" fillId="0" borderId="35" xfId="0" applyFont="1" applyFill="1" applyBorder="1" applyAlignment="1">
      <alignment vertical="center" wrapText="1" readingOrder="2"/>
    </xf>
    <xf numFmtId="0" fontId="13" fillId="0" borderId="36" xfId="0" applyFont="1" applyFill="1" applyBorder="1" applyAlignment="1">
      <alignment vertical="center" wrapText="1" readingOrder="2"/>
    </xf>
    <xf numFmtId="0" fontId="30" fillId="0" borderId="4" xfId="0" applyFont="1" applyBorder="1" applyAlignment="1">
      <alignment horizontal="center" vertical="center" wrapText="1" readingOrder="2"/>
    </xf>
    <xf numFmtId="0" fontId="30" fillId="0" borderId="9" xfId="0" applyFont="1" applyBorder="1" applyAlignment="1">
      <alignment horizontal="center" vertical="center" wrapText="1" readingOrder="2"/>
    </xf>
    <xf numFmtId="0" fontId="5" fillId="0" borderId="35" xfId="0" applyFont="1" applyFill="1" applyBorder="1" applyAlignment="1">
      <alignment vertical="center" wrapText="1" readingOrder="2"/>
    </xf>
    <xf numFmtId="0" fontId="5" fillId="0" borderId="36" xfId="0" applyFont="1" applyFill="1" applyBorder="1" applyAlignment="1">
      <alignment vertical="center" wrapText="1" readingOrder="2"/>
    </xf>
    <xf numFmtId="0" fontId="13" fillId="0" borderId="0" xfId="0" applyFont="1" applyFill="1" applyBorder="1" applyAlignment="1">
      <alignment horizontal="right" vertical="center" wrapText="1" readingOrder="1"/>
    </xf>
    <xf numFmtId="0" fontId="5" fillId="0" borderId="43" xfId="0" applyFont="1" applyFill="1" applyBorder="1" applyAlignment="1">
      <alignment vertical="center" wrapText="1" readingOrder="2"/>
    </xf>
    <xf numFmtId="0" fontId="5" fillId="0" borderId="35" xfId="0" applyFont="1" applyFill="1" applyBorder="1" applyAlignment="1">
      <alignment horizontal="right" wrapText="1" readingOrder="2"/>
    </xf>
    <xf numFmtId="0" fontId="5" fillId="0" borderId="36" xfId="0" applyFont="1" applyFill="1" applyBorder="1" applyAlignment="1">
      <alignment horizontal="right" wrapText="1" readingOrder="2"/>
    </xf>
    <xf numFmtId="0" fontId="41" fillId="0" borderId="0" xfId="0" applyFont="1" applyBorder="1" applyAlignment="1">
      <alignment horizontal="right" wrapText="1" readingOrder="2"/>
    </xf>
    <xf numFmtId="0" fontId="5" fillId="0" borderId="52" xfId="0" applyFont="1" applyFill="1" applyBorder="1" applyAlignment="1">
      <alignment horizontal="right" vertical="center" wrapText="1" readingOrder="2"/>
    </xf>
    <xf numFmtId="0" fontId="5" fillId="0" borderId="53" xfId="0" applyFont="1" applyFill="1" applyBorder="1" applyAlignment="1">
      <alignment horizontal="right" vertical="center" wrapText="1" readingOrder="2"/>
    </xf>
    <xf numFmtId="0" fontId="30" fillId="0" borderId="6" xfId="0" applyFont="1" applyBorder="1" applyAlignment="1">
      <alignment horizontal="center" vertical="center" wrapText="1" readingOrder="2"/>
    </xf>
    <xf numFmtId="0" fontId="41" fillId="0" borderId="45" xfId="0" applyFont="1" applyBorder="1" applyAlignment="1">
      <alignment horizontal="right" wrapText="1" readingOrder="2"/>
    </xf>
    <xf numFmtId="0" fontId="41" fillId="0" borderId="25" xfId="0" applyFont="1" applyBorder="1" applyAlignment="1">
      <alignment horizontal="right" wrapText="1" readingOrder="2"/>
    </xf>
    <xf numFmtId="0" fontId="5" fillId="0" borderId="35" xfId="0" applyFont="1" applyFill="1" applyBorder="1" applyAlignment="1">
      <alignment horizontal="right" vertical="center" wrapText="1" readingOrder="2"/>
    </xf>
    <xf numFmtId="0" fontId="5" fillId="0" borderId="36" xfId="0" applyFont="1" applyFill="1" applyBorder="1" applyAlignment="1">
      <alignment horizontal="right" vertical="center" wrapText="1" readingOrder="2"/>
    </xf>
    <xf numFmtId="0" fontId="30" fillId="0" borderId="4" xfId="0" applyFont="1" applyFill="1" applyBorder="1" applyAlignment="1">
      <alignment horizontal="center" vertical="center" wrapText="1" readingOrder="2"/>
    </xf>
    <xf numFmtId="0" fontId="30" fillId="0" borderId="9" xfId="0" applyFont="1" applyFill="1" applyBorder="1" applyAlignment="1">
      <alignment horizontal="center" vertical="center" wrapText="1" readingOrder="2"/>
    </xf>
    <xf numFmtId="0" fontId="44" fillId="0" borderId="0" xfId="0" applyFont="1" applyFill="1" applyBorder="1" applyAlignment="1">
      <alignment horizontal="center" vertical="top" wrapText="1" readingOrder="2"/>
    </xf>
    <xf numFmtId="0" fontId="27" fillId="0" borderId="4" xfId="0" applyFont="1" applyBorder="1" applyAlignment="1">
      <alignment horizontal="center" vertical="center" wrapText="1" readingOrder="2"/>
    </xf>
    <xf numFmtId="0" fontId="5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51" fillId="0" borderId="0" xfId="0" applyFont="1" applyFill="1" applyAlignment="1">
      <alignment horizontal="center"/>
    </xf>
    <xf numFmtId="0" fontId="2" fillId="0" borderId="0" xfId="0" applyFont="1" applyAlignment="1">
      <alignment horizontal="right" wrapText="1"/>
    </xf>
  </cellXfs>
  <cellStyles count="5">
    <cellStyle name="Check Cell" xfId="4" builtinId="23"/>
    <cellStyle name="Comma" xfId="3" builtinId="3"/>
    <cellStyle name="Normal" xfId="0" builtinId="0"/>
    <cellStyle name="Normal 7" xfId="1"/>
    <cellStyle name="Normal_trpay0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112"/>
  <sheetViews>
    <sheetView rightToLeft="1" tabSelected="1" workbookViewId="0">
      <selection activeCell="F116" sqref="F116"/>
    </sheetView>
  </sheetViews>
  <sheetFormatPr defaultColWidth="9" defaultRowHeight="15"/>
  <cols>
    <col min="1" max="5" width="9" style="367"/>
    <col min="6" max="6" width="31.85546875" style="367" customWidth="1"/>
    <col min="7" max="7" width="11.42578125" style="367" customWidth="1"/>
    <col min="8" max="8" width="34.5703125" style="367" customWidth="1"/>
    <col min="9" max="9" width="24.42578125" style="367" customWidth="1"/>
    <col min="10" max="16384" width="9" style="367"/>
  </cols>
  <sheetData>
    <row r="2" spans="1:16">
      <c r="A2" s="384" t="s">
        <v>502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6" ht="44.25" customHeight="1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</row>
    <row r="5" spans="1:16" s="366" customFormat="1" ht="15.75">
      <c r="A5" s="398" t="s">
        <v>52</v>
      </c>
      <c r="B5" s="398"/>
      <c r="C5" s="398"/>
      <c r="D5" s="398"/>
      <c r="E5" s="398"/>
      <c r="F5" s="398"/>
      <c r="G5" s="398"/>
      <c r="H5" s="398"/>
      <c r="I5" s="398"/>
      <c r="J5" s="352"/>
      <c r="K5" s="363" t="s">
        <v>478</v>
      </c>
    </row>
    <row r="6" spans="1:16" s="366" customFormat="1" ht="20.25" customHeight="1">
      <c r="A6" s="398" t="s">
        <v>53</v>
      </c>
      <c r="B6" s="398"/>
      <c r="C6" s="398"/>
      <c r="D6" s="398"/>
      <c r="E6" s="398"/>
      <c r="F6" s="398"/>
      <c r="G6" s="398"/>
      <c r="H6" s="398"/>
      <c r="I6" s="398"/>
      <c r="J6" s="398"/>
      <c r="K6" s="363" t="s">
        <v>479</v>
      </c>
    </row>
    <row r="8" spans="1:16" s="366" customFormat="1" ht="33" customHeight="1">
      <c r="A8" s="397" t="s">
        <v>56</v>
      </c>
      <c r="B8" s="397"/>
      <c r="C8" s="397"/>
      <c r="D8" s="397"/>
      <c r="E8" s="397"/>
      <c r="F8" s="397"/>
      <c r="G8" s="397"/>
      <c r="H8" s="397"/>
      <c r="I8" s="397"/>
      <c r="J8" s="397"/>
      <c r="K8" s="368" t="s">
        <v>480</v>
      </c>
      <c r="L8" s="363"/>
      <c r="M8" s="363"/>
      <c r="N8" s="363"/>
    </row>
    <row r="9" spans="1:16" ht="15.75">
      <c r="K9" s="363"/>
    </row>
    <row r="10" spans="1:16" s="363" customFormat="1" ht="38.25" customHeight="1">
      <c r="A10" s="397" t="s">
        <v>58</v>
      </c>
      <c r="B10" s="397"/>
      <c r="C10" s="397"/>
      <c r="D10" s="397"/>
      <c r="E10" s="397"/>
      <c r="F10" s="397"/>
      <c r="G10" s="397"/>
      <c r="H10" s="397"/>
      <c r="I10" s="397"/>
      <c r="J10" s="397"/>
      <c r="K10" s="368" t="s">
        <v>481</v>
      </c>
      <c r="L10" s="353"/>
      <c r="M10" s="353"/>
    </row>
    <row r="12" spans="1:16" ht="45.75" customHeight="1">
      <c r="A12" s="397" t="s">
        <v>505</v>
      </c>
      <c r="B12" s="397"/>
      <c r="C12" s="397"/>
      <c r="D12" s="397"/>
      <c r="E12" s="397"/>
      <c r="F12" s="397"/>
      <c r="G12" s="397"/>
      <c r="H12" s="397"/>
      <c r="I12" s="397"/>
      <c r="K12" s="368" t="s">
        <v>482</v>
      </c>
    </row>
    <row r="14" spans="1:16" ht="36.75" customHeight="1">
      <c r="A14" s="397" t="s">
        <v>506</v>
      </c>
      <c r="B14" s="397"/>
      <c r="C14" s="397"/>
      <c r="D14" s="397"/>
      <c r="E14" s="397"/>
      <c r="F14" s="397"/>
      <c r="G14" s="397"/>
      <c r="H14" s="397"/>
      <c r="I14" s="397"/>
      <c r="K14" s="368" t="s">
        <v>482</v>
      </c>
      <c r="P14" s="369"/>
    </row>
    <row r="16" spans="1:16" s="370" customFormat="1" ht="39" customHeight="1">
      <c r="A16" s="392" t="s">
        <v>96</v>
      </c>
      <c r="B16" s="393"/>
      <c r="C16" s="393"/>
      <c r="D16" s="393"/>
      <c r="E16" s="393"/>
      <c r="F16" s="393"/>
      <c r="G16" s="393"/>
      <c r="H16" s="393"/>
      <c r="I16" s="393"/>
      <c r="J16" s="354"/>
      <c r="K16" s="368" t="s">
        <v>483</v>
      </c>
      <c r="L16" s="354"/>
      <c r="M16" s="354"/>
      <c r="N16" s="354"/>
    </row>
    <row r="18" spans="1:23" ht="52.5" customHeight="1">
      <c r="A18" s="392" t="s">
        <v>105</v>
      </c>
      <c r="B18" s="393"/>
      <c r="C18" s="393"/>
      <c r="D18" s="393"/>
      <c r="E18" s="393"/>
      <c r="F18" s="393"/>
      <c r="G18" s="393"/>
      <c r="H18" s="393"/>
      <c r="I18" s="393"/>
      <c r="J18" s="354"/>
      <c r="K18" s="351" t="s">
        <v>483</v>
      </c>
      <c r="L18" s="354"/>
      <c r="M18" s="354"/>
      <c r="N18" s="354"/>
    </row>
    <row r="20" spans="1:23" s="353" customFormat="1" ht="33" customHeight="1">
      <c r="A20" s="394" t="s">
        <v>112</v>
      </c>
      <c r="B20" s="395"/>
      <c r="C20" s="395"/>
      <c r="D20" s="395"/>
      <c r="E20" s="395"/>
      <c r="F20" s="395"/>
      <c r="G20" s="395"/>
      <c r="H20" s="395"/>
      <c r="I20" s="395"/>
      <c r="J20" s="355"/>
      <c r="K20" s="351" t="s">
        <v>484</v>
      </c>
      <c r="L20" s="355"/>
    </row>
    <row r="22" spans="1:23" s="353" customFormat="1" ht="34.5" customHeight="1">
      <c r="A22" s="394" t="s">
        <v>192</v>
      </c>
      <c r="B22" s="395"/>
      <c r="C22" s="395"/>
      <c r="D22" s="395"/>
      <c r="E22" s="395"/>
      <c r="F22" s="395"/>
      <c r="G22" s="395"/>
      <c r="H22" s="395"/>
      <c r="I22" s="395"/>
      <c r="J22" s="355"/>
      <c r="K22" s="351" t="s">
        <v>484</v>
      </c>
      <c r="L22" s="355"/>
    </row>
    <row r="24" spans="1:23" s="356" customFormat="1" ht="32.25" customHeight="1">
      <c r="A24" s="393" t="s">
        <v>507</v>
      </c>
      <c r="B24" s="393"/>
      <c r="C24" s="393"/>
      <c r="D24" s="393"/>
      <c r="E24" s="393"/>
      <c r="F24" s="393"/>
      <c r="G24" s="393"/>
      <c r="H24" s="393"/>
      <c r="I24" s="393"/>
      <c r="K24" s="351" t="s">
        <v>485</v>
      </c>
    </row>
    <row r="26" spans="1:23" s="357" customFormat="1" ht="52.5" customHeight="1">
      <c r="A26" s="396" t="s">
        <v>207</v>
      </c>
      <c r="B26" s="396"/>
      <c r="C26" s="396"/>
      <c r="D26" s="396"/>
      <c r="E26" s="396"/>
      <c r="F26" s="396"/>
      <c r="G26" s="396"/>
      <c r="H26" s="396"/>
      <c r="I26" s="396"/>
      <c r="J26" s="358"/>
      <c r="K26" s="351" t="s">
        <v>486</v>
      </c>
      <c r="L26" s="358"/>
      <c r="M26" s="364"/>
      <c r="N26" s="364"/>
      <c r="O26" s="364"/>
      <c r="P26" s="364"/>
      <c r="Q26" s="364"/>
      <c r="R26" s="364"/>
      <c r="S26" s="364"/>
      <c r="T26" s="364"/>
      <c r="U26" s="364"/>
    </row>
    <row r="28" spans="1:23" s="357" customFormat="1" ht="60" customHeight="1">
      <c r="A28" s="396" t="s">
        <v>246</v>
      </c>
      <c r="B28" s="396"/>
      <c r="C28" s="396"/>
      <c r="D28" s="396"/>
      <c r="E28" s="396"/>
      <c r="F28" s="396"/>
      <c r="G28" s="396"/>
      <c r="H28" s="396"/>
      <c r="I28" s="396"/>
      <c r="J28" s="396"/>
      <c r="K28" s="351" t="s">
        <v>486</v>
      </c>
      <c r="L28" s="358"/>
      <c r="M28" s="364"/>
      <c r="N28" s="364"/>
      <c r="O28" s="364"/>
      <c r="P28" s="364"/>
      <c r="Q28" s="364"/>
      <c r="R28" s="364"/>
      <c r="S28" s="364"/>
      <c r="T28" s="364"/>
      <c r="U28" s="364"/>
      <c r="W28" s="364"/>
    </row>
    <row r="30" spans="1:23" s="352" customFormat="1" ht="42.75" customHeight="1">
      <c r="A30" s="386" t="s">
        <v>249</v>
      </c>
      <c r="B30" s="387"/>
      <c r="C30" s="387"/>
      <c r="D30" s="387"/>
      <c r="E30" s="387"/>
      <c r="F30" s="387"/>
      <c r="G30" s="387"/>
      <c r="H30" s="387"/>
      <c r="I30" s="387"/>
      <c r="J30" s="387"/>
      <c r="K30" s="351" t="s">
        <v>487</v>
      </c>
      <c r="L30" s="361"/>
      <c r="M30" s="361"/>
      <c r="T30" s="371"/>
    </row>
    <row r="32" spans="1:23" s="372" customFormat="1" ht="35.25" customHeight="1">
      <c r="A32" s="387" t="s">
        <v>251</v>
      </c>
      <c r="B32" s="387"/>
      <c r="C32" s="387"/>
      <c r="D32" s="387"/>
      <c r="E32" s="387"/>
      <c r="F32" s="387"/>
      <c r="G32" s="387"/>
      <c r="H32" s="387"/>
      <c r="I32" s="387"/>
      <c r="J32" s="387"/>
      <c r="K32" s="351" t="s">
        <v>487</v>
      </c>
      <c r="S32" s="373"/>
      <c r="T32" s="373"/>
      <c r="U32" s="373"/>
      <c r="V32" s="373"/>
      <c r="W32" s="373"/>
    </row>
    <row r="34" spans="1:17" s="366" customFormat="1" ht="36.75" customHeight="1">
      <c r="A34" s="388" t="s">
        <v>262</v>
      </c>
      <c r="B34" s="388"/>
      <c r="C34" s="388"/>
      <c r="D34" s="388"/>
      <c r="E34" s="388"/>
      <c r="F34" s="388"/>
      <c r="G34" s="388"/>
      <c r="H34" s="388"/>
      <c r="I34" s="388"/>
      <c r="J34" s="388"/>
      <c r="K34" s="351" t="s">
        <v>487</v>
      </c>
    </row>
    <row r="36" spans="1:17" s="374" customFormat="1" ht="34.5" customHeight="1">
      <c r="A36" s="389" t="s">
        <v>411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51" t="s">
        <v>488</v>
      </c>
      <c r="L36" s="360"/>
      <c r="M36" s="360"/>
      <c r="Q36" s="375"/>
    </row>
    <row r="38" spans="1:17" s="374" customFormat="1" ht="33" customHeight="1">
      <c r="A38" s="389" t="s">
        <v>412</v>
      </c>
      <c r="B38" s="389"/>
      <c r="C38" s="389"/>
      <c r="D38" s="389"/>
      <c r="E38" s="389"/>
      <c r="F38" s="389"/>
      <c r="G38" s="389"/>
      <c r="H38" s="389"/>
      <c r="I38" s="389"/>
      <c r="J38" s="360"/>
      <c r="K38" s="351" t="s">
        <v>488</v>
      </c>
      <c r="L38" s="360"/>
      <c r="M38" s="360"/>
      <c r="Q38" s="375"/>
    </row>
    <row r="40" spans="1:17" s="376" customFormat="1" ht="42" customHeight="1">
      <c r="A40" s="389" t="s">
        <v>272</v>
      </c>
      <c r="B40" s="389"/>
      <c r="C40" s="389"/>
      <c r="D40" s="389"/>
      <c r="E40" s="389"/>
      <c r="F40" s="389"/>
      <c r="G40" s="389"/>
      <c r="H40" s="389"/>
      <c r="I40" s="389"/>
      <c r="J40" s="360"/>
      <c r="K40" s="351" t="s">
        <v>488</v>
      </c>
      <c r="L40" s="360"/>
      <c r="M40" s="360"/>
    </row>
    <row r="42" spans="1:17" s="377" customFormat="1" ht="42" customHeight="1">
      <c r="A42" s="389" t="s">
        <v>286</v>
      </c>
      <c r="B42" s="389"/>
      <c r="C42" s="389"/>
      <c r="D42" s="389"/>
      <c r="E42" s="389"/>
      <c r="F42" s="389"/>
      <c r="G42" s="389"/>
      <c r="H42" s="389"/>
      <c r="I42" s="389"/>
      <c r="J42" s="360"/>
      <c r="K42" s="351" t="s">
        <v>488</v>
      </c>
      <c r="L42" s="360"/>
      <c r="M42" s="360"/>
    </row>
    <row r="44" spans="1:17" s="374" customFormat="1" ht="33" customHeight="1">
      <c r="A44" s="389" t="s">
        <v>406</v>
      </c>
      <c r="B44" s="389"/>
      <c r="C44" s="389"/>
      <c r="D44" s="389"/>
      <c r="E44" s="389"/>
      <c r="F44" s="389"/>
      <c r="G44" s="389"/>
      <c r="H44" s="389"/>
      <c r="I44" s="389"/>
      <c r="J44" s="360"/>
      <c r="K44" s="351" t="s">
        <v>489</v>
      </c>
      <c r="L44" s="360"/>
      <c r="M44" s="360"/>
      <c r="Q44" s="375"/>
    </row>
    <row r="46" spans="1:17" s="374" customFormat="1" ht="33" customHeight="1">
      <c r="A46" s="389" t="s">
        <v>407</v>
      </c>
      <c r="B46" s="389"/>
      <c r="C46" s="389"/>
      <c r="D46" s="389"/>
      <c r="E46" s="389"/>
      <c r="F46" s="389"/>
      <c r="G46" s="389"/>
      <c r="H46" s="389"/>
      <c r="I46" s="389"/>
      <c r="J46" s="360"/>
      <c r="K46" s="351" t="s">
        <v>489</v>
      </c>
      <c r="L46" s="360"/>
      <c r="M46" s="360"/>
      <c r="Q46" s="375"/>
    </row>
    <row r="48" spans="1:17" s="379" customFormat="1" ht="33" customHeight="1">
      <c r="A48" s="390" t="s">
        <v>352</v>
      </c>
      <c r="B48" s="390"/>
      <c r="C48" s="390"/>
      <c r="D48" s="390"/>
      <c r="E48" s="390"/>
      <c r="F48" s="390"/>
      <c r="G48" s="390"/>
      <c r="H48" s="390"/>
      <c r="I48" s="390"/>
      <c r="J48" s="378"/>
      <c r="K48" s="351" t="s">
        <v>490</v>
      </c>
      <c r="L48" s="378"/>
      <c r="M48" s="378"/>
      <c r="Q48" s="380"/>
    </row>
    <row r="50" spans="1:17" s="374" customFormat="1" ht="33" customHeight="1">
      <c r="A50" s="389" t="s">
        <v>416</v>
      </c>
      <c r="B50" s="389"/>
      <c r="C50" s="389"/>
      <c r="D50" s="389"/>
      <c r="E50" s="389"/>
      <c r="F50" s="389"/>
      <c r="G50" s="389"/>
      <c r="H50" s="389"/>
      <c r="I50" s="389"/>
      <c r="J50" s="360"/>
      <c r="K50" s="351" t="s">
        <v>490</v>
      </c>
      <c r="L50" s="360"/>
      <c r="M50" s="360"/>
      <c r="Q50" s="375"/>
    </row>
    <row r="52" spans="1:17" s="374" customFormat="1" ht="33" customHeight="1">
      <c r="A52" s="389" t="s">
        <v>415</v>
      </c>
      <c r="B52" s="389"/>
      <c r="C52" s="389"/>
      <c r="D52" s="389"/>
      <c r="E52" s="389"/>
      <c r="F52" s="389"/>
      <c r="G52" s="389"/>
      <c r="H52" s="389"/>
      <c r="I52" s="389"/>
      <c r="J52" s="360"/>
      <c r="K52" s="351" t="s">
        <v>490</v>
      </c>
      <c r="L52" s="360"/>
      <c r="M52" s="360"/>
      <c r="Q52" s="375"/>
    </row>
    <row r="54" spans="1:17" s="374" customFormat="1" ht="33" customHeight="1">
      <c r="A54" s="389" t="s">
        <v>418</v>
      </c>
      <c r="B54" s="389"/>
      <c r="C54" s="389"/>
      <c r="D54" s="389"/>
      <c r="E54" s="389"/>
      <c r="F54" s="389"/>
      <c r="G54" s="389"/>
      <c r="H54" s="389"/>
      <c r="I54" s="389"/>
      <c r="J54" s="360"/>
      <c r="K54" s="351" t="s">
        <v>491</v>
      </c>
      <c r="L54" s="360"/>
      <c r="M54" s="360"/>
      <c r="Q54" s="375"/>
    </row>
    <row r="56" spans="1:17" s="374" customFormat="1" ht="33" customHeight="1">
      <c r="A56" s="389" t="s">
        <v>419</v>
      </c>
      <c r="B56" s="389"/>
      <c r="C56" s="389"/>
      <c r="D56" s="389"/>
      <c r="E56" s="389"/>
      <c r="F56" s="389"/>
      <c r="G56" s="389"/>
      <c r="H56" s="389"/>
      <c r="I56" s="389"/>
      <c r="J56" s="360"/>
      <c r="K56" s="351" t="s">
        <v>491</v>
      </c>
      <c r="L56" s="360"/>
      <c r="M56" s="360"/>
      <c r="Q56" s="375"/>
    </row>
    <row r="58" spans="1:17" s="381" customFormat="1" ht="33.75" customHeight="1">
      <c r="A58" s="386" t="s">
        <v>420</v>
      </c>
      <c r="B58" s="387"/>
      <c r="C58" s="387"/>
      <c r="D58" s="387"/>
      <c r="E58" s="387"/>
      <c r="F58" s="387"/>
      <c r="G58" s="387"/>
      <c r="H58" s="387"/>
      <c r="I58" s="387"/>
      <c r="J58" s="361"/>
      <c r="K58" s="351" t="s">
        <v>492</v>
      </c>
      <c r="L58" s="361"/>
    </row>
    <row r="60" spans="1:17" s="381" customFormat="1" ht="36" customHeight="1">
      <c r="A60" s="386" t="s">
        <v>421</v>
      </c>
      <c r="B60" s="387"/>
      <c r="C60" s="387"/>
      <c r="D60" s="387"/>
      <c r="E60" s="387"/>
      <c r="F60" s="387"/>
      <c r="G60" s="387"/>
      <c r="H60" s="387"/>
      <c r="I60" s="387"/>
      <c r="J60" s="361"/>
      <c r="K60" s="351" t="s">
        <v>492</v>
      </c>
      <c r="L60" s="361"/>
    </row>
    <row r="62" spans="1:17" s="381" customFormat="1" ht="49.5" customHeight="1">
      <c r="A62" s="386" t="s">
        <v>408</v>
      </c>
      <c r="B62" s="387"/>
      <c r="C62" s="387"/>
      <c r="D62" s="387"/>
      <c r="E62" s="387"/>
      <c r="F62" s="387"/>
      <c r="G62" s="387"/>
      <c r="H62" s="387"/>
      <c r="I62" s="387"/>
      <c r="J62" s="361"/>
      <c r="K62" s="351" t="s">
        <v>493</v>
      </c>
      <c r="L62" s="361"/>
      <c r="M62" s="361"/>
      <c r="N62" s="361"/>
    </row>
    <row r="64" spans="1:17" s="381" customFormat="1" ht="49.5" customHeight="1">
      <c r="A64" s="386" t="s">
        <v>409</v>
      </c>
      <c r="B64" s="387"/>
      <c r="C64" s="387"/>
      <c r="D64" s="387"/>
      <c r="E64" s="387"/>
      <c r="F64" s="387"/>
      <c r="G64" s="387"/>
      <c r="H64" s="387"/>
      <c r="I64" s="387"/>
      <c r="J64" s="361"/>
      <c r="K64" s="351" t="s">
        <v>493</v>
      </c>
      <c r="L64" s="361"/>
      <c r="M64" s="361"/>
      <c r="N64" s="361"/>
    </row>
    <row r="66" spans="1:11" s="382" customFormat="1" ht="53.25" customHeight="1">
      <c r="A66" s="387" t="s">
        <v>405</v>
      </c>
      <c r="B66" s="387"/>
      <c r="C66" s="387"/>
      <c r="D66" s="387"/>
      <c r="E66" s="387"/>
      <c r="F66" s="387"/>
      <c r="G66" s="387"/>
      <c r="H66" s="387"/>
      <c r="I66" s="361"/>
      <c r="J66" s="361"/>
      <c r="K66" s="351" t="s">
        <v>494</v>
      </c>
    </row>
    <row r="68" spans="1:11" s="382" customFormat="1" ht="53.25" customHeight="1">
      <c r="A68" s="387" t="s">
        <v>423</v>
      </c>
      <c r="B68" s="387"/>
      <c r="C68" s="387"/>
      <c r="D68" s="387"/>
      <c r="E68" s="387"/>
      <c r="F68" s="387"/>
      <c r="G68" s="387"/>
      <c r="H68" s="387"/>
      <c r="I68" s="361"/>
      <c r="J68" s="361"/>
      <c r="K68" s="351" t="s">
        <v>494</v>
      </c>
    </row>
    <row r="70" spans="1:11" s="383" customFormat="1" ht="48" customHeight="1">
      <c r="A70" s="388" t="s">
        <v>425</v>
      </c>
      <c r="B70" s="388"/>
      <c r="C70" s="388"/>
      <c r="D70" s="388"/>
      <c r="E70" s="388"/>
      <c r="F70" s="388"/>
      <c r="G70" s="388"/>
      <c r="H70" s="388"/>
      <c r="I70" s="359"/>
      <c r="J70" s="359"/>
      <c r="K70" s="351" t="s">
        <v>495</v>
      </c>
    </row>
    <row r="72" spans="1:11" s="382" customFormat="1" ht="47.25" customHeight="1">
      <c r="A72" s="387" t="s">
        <v>426</v>
      </c>
      <c r="B72" s="387"/>
      <c r="C72" s="387"/>
      <c r="D72" s="387"/>
      <c r="E72" s="387"/>
      <c r="F72" s="387"/>
      <c r="G72" s="387"/>
      <c r="H72" s="387"/>
      <c r="I72" s="361"/>
      <c r="J72" s="361"/>
      <c r="K72" s="351" t="s">
        <v>495</v>
      </c>
    </row>
    <row r="74" spans="1:11" s="363" customFormat="1" ht="15.75">
      <c r="A74" s="362" t="s">
        <v>446</v>
      </c>
      <c r="B74" s="362"/>
      <c r="C74" s="362"/>
      <c r="D74" s="362"/>
      <c r="E74" s="362"/>
      <c r="F74" s="362"/>
      <c r="K74" s="363" t="s">
        <v>496</v>
      </c>
    </row>
    <row r="75" spans="1:11" s="363" customFormat="1" ht="15.75">
      <c r="A75" s="391" t="s">
        <v>447</v>
      </c>
      <c r="B75" s="391"/>
      <c r="C75" s="391"/>
      <c r="D75" s="391"/>
      <c r="E75" s="391"/>
      <c r="F75" s="391"/>
      <c r="G75" s="391"/>
      <c r="H75" s="391"/>
      <c r="K75" s="363" t="s">
        <v>497</v>
      </c>
    </row>
    <row r="76" spans="1:11" s="363" customFormat="1" ht="15.75"/>
    <row r="77" spans="1:11" s="365" customFormat="1" ht="15.75">
      <c r="A77" s="391" t="s">
        <v>448</v>
      </c>
      <c r="B77" s="391"/>
      <c r="C77" s="391"/>
      <c r="D77" s="391"/>
      <c r="E77" s="391"/>
      <c r="F77" s="391"/>
      <c r="K77" s="363" t="s">
        <v>496</v>
      </c>
    </row>
    <row r="78" spans="1:11" s="365" customFormat="1" ht="15.75">
      <c r="A78" s="391" t="s">
        <v>449</v>
      </c>
      <c r="B78" s="391"/>
      <c r="C78" s="391"/>
      <c r="D78" s="391"/>
      <c r="E78" s="391"/>
      <c r="F78" s="391"/>
      <c r="K78" s="363" t="s">
        <v>497</v>
      </c>
    </row>
    <row r="79" spans="1:11" s="363" customFormat="1" ht="15.75"/>
    <row r="80" spans="1:11" s="365" customFormat="1" ht="15.75">
      <c r="A80" s="391" t="s">
        <v>450</v>
      </c>
      <c r="B80" s="391"/>
      <c r="C80" s="391"/>
      <c r="D80" s="391"/>
      <c r="E80" s="391"/>
      <c r="F80" s="391"/>
      <c r="K80" s="363" t="s">
        <v>496</v>
      </c>
    </row>
    <row r="81" spans="1:11" s="365" customFormat="1" ht="15.75">
      <c r="A81" s="391" t="s">
        <v>451</v>
      </c>
      <c r="B81" s="391"/>
      <c r="C81" s="391"/>
      <c r="D81" s="391"/>
      <c r="E81" s="391"/>
      <c r="F81" s="391"/>
      <c r="K81" s="363" t="s">
        <v>497</v>
      </c>
    </row>
    <row r="82" spans="1:11" s="363" customFormat="1" ht="15.75"/>
    <row r="83" spans="1:11" s="365" customFormat="1" ht="15.75">
      <c r="A83" s="391" t="s">
        <v>452</v>
      </c>
      <c r="B83" s="391"/>
      <c r="C83" s="391"/>
      <c r="D83" s="391"/>
      <c r="E83" s="391"/>
      <c r="F83" s="391"/>
      <c r="K83" s="363" t="s">
        <v>496</v>
      </c>
    </row>
    <row r="84" spans="1:11" s="365" customFormat="1" ht="15.75">
      <c r="A84" s="391" t="s">
        <v>453</v>
      </c>
      <c r="B84" s="391"/>
      <c r="C84" s="391"/>
      <c r="D84" s="391"/>
      <c r="E84" s="391"/>
      <c r="F84" s="391"/>
      <c r="K84" s="363" t="s">
        <v>497</v>
      </c>
    </row>
    <row r="85" spans="1:11" s="363" customFormat="1" ht="15.75"/>
    <row r="86" spans="1:11" s="365" customFormat="1" ht="15.75">
      <c r="A86" s="391" t="s">
        <v>454</v>
      </c>
      <c r="B86" s="391"/>
      <c r="C86" s="391"/>
      <c r="D86" s="391"/>
      <c r="E86" s="391"/>
      <c r="F86" s="391"/>
      <c r="K86" s="363" t="s">
        <v>498</v>
      </c>
    </row>
    <row r="87" spans="1:11" s="365" customFormat="1" ht="15.75">
      <c r="A87" s="391" t="s">
        <v>455</v>
      </c>
      <c r="B87" s="391"/>
      <c r="C87" s="391"/>
      <c r="D87" s="391"/>
      <c r="E87" s="391"/>
      <c r="F87" s="391"/>
      <c r="K87" s="363" t="s">
        <v>499</v>
      </c>
    </row>
    <row r="88" spans="1:11" s="363" customFormat="1" ht="15.75"/>
    <row r="89" spans="1:11" s="365" customFormat="1" ht="15.75">
      <c r="A89" s="391" t="s">
        <v>462</v>
      </c>
      <c r="B89" s="391"/>
      <c r="C89" s="391"/>
      <c r="D89" s="391"/>
      <c r="E89" s="391"/>
      <c r="F89" s="391"/>
      <c r="K89" s="363" t="s">
        <v>498</v>
      </c>
    </row>
    <row r="90" spans="1:11" s="365" customFormat="1" ht="15.75">
      <c r="A90" s="391" t="s">
        <v>463</v>
      </c>
      <c r="B90" s="391"/>
      <c r="C90" s="391"/>
      <c r="D90" s="391"/>
      <c r="E90" s="391"/>
      <c r="F90" s="391"/>
      <c r="K90" s="363" t="s">
        <v>499</v>
      </c>
    </row>
    <row r="91" spans="1:11" s="363" customFormat="1" ht="15.75"/>
    <row r="92" spans="1:11" s="365" customFormat="1" ht="15.75">
      <c r="A92" s="391" t="s">
        <v>464</v>
      </c>
      <c r="B92" s="391"/>
      <c r="C92" s="391"/>
      <c r="D92" s="391"/>
      <c r="E92" s="391"/>
      <c r="F92" s="391"/>
      <c r="K92" s="363" t="s">
        <v>498</v>
      </c>
    </row>
    <row r="93" spans="1:11" s="365" customFormat="1" ht="15.75">
      <c r="A93" s="391" t="s">
        <v>465</v>
      </c>
      <c r="B93" s="391"/>
      <c r="C93" s="391"/>
      <c r="D93" s="391"/>
      <c r="E93" s="391"/>
      <c r="F93" s="391"/>
      <c r="K93" s="363" t="s">
        <v>499</v>
      </c>
    </row>
    <row r="94" spans="1:11" s="363" customFormat="1" ht="15.75"/>
    <row r="95" spans="1:11" s="365" customFormat="1" ht="15.75">
      <c r="A95" s="391" t="s">
        <v>466</v>
      </c>
      <c r="B95" s="391"/>
      <c r="C95" s="391"/>
      <c r="D95" s="391"/>
      <c r="E95" s="391"/>
      <c r="F95" s="391"/>
      <c r="K95" s="363" t="s">
        <v>498</v>
      </c>
    </row>
    <row r="96" spans="1:11" s="365" customFormat="1" ht="15.75">
      <c r="A96" s="391" t="s">
        <v>467</v>
      </c>
      <c r="B96" s="391"/>
      <c r="C96" s="391"/>
      <c r="D96" s="391"/>
      <c r="E96" s="391"/>
      <c r="F96" s="391"/>
      <c r="K96" s="363" t="s">
        <v>499</v>
      </c>
    </row>
    <row r="97" spans="1:11" s="363" customFormat="1" ht="15.75"/>
    <row r="98" spans="1:11" s="365" customFormat="1" ht="15.75">
      <c r="A98" s="391" t="s">
        <v>468</v>
      </c>
      <c r="B98" s="391"/>
      <c r="C98" s="391"/>
      <c r="D98" s="391"/>
      <c r="E98" s="391"/>
      <c r="F98" s="391"/>
      <c r="K98" s="363" t="s">
        <v>498</v>
      </c>
    </row>
    <row r="99" spans="1:11" s="365" customFormat="1" ht="15.75">
      <c r="A99" s="391" t="s">
        <v>469</v>
      </c>
      <c r="B99" s="391"/>
      <c r="C99" s="391"/>
      <c r="D99" s="391"/>
      <c r="E99" s="391"/>
      <c r="F99" s="391"/>
      <c r="K99" s="363" t="s">
        <v>499</v>
      </c>
    </row>
    <row r="100" spans="1:11" s="363" customFormat="1" ht="15.75"/>
    <row r="101" spans="1:11" s="365" customFormat="1" ht="15.75">
      <c r="A101" s="391" t="s">
        <v>470</v>
      </c>
      <c r="B101" s="391"/>
      <c r="C101" s="391"/>
      <c r="D101" s="391"/>
      <c r="E101" s="391"/>
      <c r="F101" s="391"/>
      <c r="K101" s="363" t="s">
        <v>500</v>
      </c>
    </row>
    <row r="102" spans="1:11" s="365" customFormat="1" ht="15.75">
      <c r="A102" s="391" t="s">
        <v>471</v>
      </c>
      <c r="B102" s="391"/>
      <c r="C102" s="391"/>
      <c r="D102" s="391"/>
      <c r="E102" s="391"/>
      <c r="F102" s="391"/>
      <c r="K102" s="363" t="s">
        <v>501</v>
      </c>
    </row>
    <row r="103" spans="1:11" s="363" customFormat="1" ht="15.75"/>
    <row r="104" spans="1:11" s="365" customFormat="1" ht="15.75">
      <c r="A104" s="391" t="s">
        <v>472</v>
      </c>
      <c r="B104" s="391"/>
      <c r="C104" s="391"/>
      <c r="D104" s="391"/>
      <c r="E104" s="391"/>
      <c r="F104" s="391"/>
      <c r="G104" s="391"/>
      <c r="K104" s="363" t="s">
        <v>500</v>
      </c>
    </row>
    <row r="105" spans="1:11" s="365" customFormat="1" ht="15.75">
      <c r="A105" s="391" t="s">
        <v>511</v>
      </c>
      <c r="B105" s="391"/>
      <c r="C105" s="391"/>
      <c r="D105" s="391"/>
      <c r="E105" s="391"/>
      <c r="F105" s="391"/>
      <c r="G105" s="391"/>
      <c r="K105" s="363" t="s">
        <v>501</v>
      </c>
    </row>
    <row r="106" spans="1:11" s="363" customFormat="1" ht="15.75"/>
    <row r="107" spans="1:11" s="365" customFormat="1" ht="15.75">
      <c r="A107" s="391" t="s">
        <v>474</v>
      </c>
      <c r="B107" s="391"/>
      <c r="C107" s="391"/>
      <c r="D107" s="391"/>
      <c r="E107" s="391"/>
      <c r="F107" s="391"/>
      <c r="G107" s="391"/>
      <c r="K107" s="363" t="s">
        <v>500</v>
      </c>
    </row>
    <row r="108" spans="1:11" s="365" customFormat="1" ht="15.75">
      <c r="A108" s="391" t="s">
        <v>475</v>
      </c>
      <c r="B108" s="391"/>
      <c r="C108" s="391"/>
      <c r="D108" s="391"/>
      <c r="E108" s="391"/>
      <c r="F108" s="391"/>
      <c r="G108" s="391"/>
      <c r="K108" s="363" t="s">
        <v>501</v>
      </c>
    </row>
    <row r="109" spans="1:11" s="363" customFormat="1" ht="15.75"/>
    <row r="110" spans="1:11" s="365" customFormat="1" ht="15.75">
      <c r="A110" s="391" t="s">
        <v>476</v>
      </c>
      <c r="B110" s="391"/>
      <c r="C110" s="391"/>
      <c r="D110" s="391"/>
      <c r="E110" s="391"/>
      <c r="F110" s="391"/>
      <c r="G110" s="391"/>
      <c r="K110" s="363" t="s">
        <v>500</v>
      </c>
    </row>
    <row r="111" spans="1:11" s="365" customFormat="1" ht="15" customHeight="1">
      <c r="A111" s="391" t="s">
        <v>477</v>
      </c>
      <c r="B111" s="391"/>
      <c r="C111" s="391"/>
      <c r="D111" s="391"/>
      <c r="E111" s="391"/>
      <c r="F111" s="391"/>
      <c r="G111" s="391"/>
      <c r="K111" s="363" t="s">
        <v>501</v>
      </c>
    </row>
    <row r="112" spans="1:11" s="363" customFormat="1" ht="15.75"/>
  </sheetData>
  <mergeCells count="61">
    <mergeCell ref="A30:J30"/>
    <mergeCell ref="A12:I12"/>
    <mergeCell ref="A14:I14"/>
    <mergeCell ref="A5:I5"/>
    <mergeCell ref="A6:J6"/>
    <mergeCell ref="A8:J8"/>
    <mergeCell ref="A10:J10"/>
    <mergeCell ref="A86:F86"/>
    <mergeCell ref="A77:F77"/>
    <mergeCell ref="A72:H72"/>
    <mergeCell ref="A75:H75"/>
    <mergeCell ref="A52:I52"/>
    <mergeCell ref="A54:I54"/>
    <mergeCell ref="A56:I56"/>
    <mergeCell ref="A58:I58"/>
    <mergeCell ref="A78:F78"/>
    <mergeCell ref="A80:F80"/>
    <mergeCell ref="A81:F81"/>
    <mergeCell ref="A83:F83"/>
    <mergeCell ref="A84:F84"/>
    <mergeCell ref="A104:G104"/>
    <mergeCell ref="A87:F87"/>
    <mergeCell ref="A89:F89"/>
    <mergeCell ref="A90:F90"/>
    <mergeCell ref="A92:F92"/>
    <mergeCell ref="A93:F93"/>
    <mergeCell ref="A95:F95"/>
    <mergeCell ref="A96:F96"/>
    <mergeCell ref="A98:F98"/>
    <mergeCell ref="A99:F99"/>
    <mergeCell ref="A101:F101"/>
    <mergeCell ref="A102:F102"/>
    <mergeCell ref="A105:G105"/>
    <mergeCell ref="A107:G107"/>
    <mergeCell ref="A108:G108"/>
    <mergeCell ref="A110:G110"/>
    <mergeCell ref="A111:G111"/>
    <mergeCell ref="A68:H68"/>
    <mergeCell ref="A70:H70"/>
    <mergeCell ref="A40:I40"/>
    <mergeCell ref="A42:I42"/>
    <mergeCell ref="A44:I44"/>
    <mergeCell ref="A46:I46"/>
    <mergeCell ref="A48:I48"/>
    <mergeCell ref="A50:I50"/>
    <mergeCell ref="A2:K3"/>
    <mergeCell ref="A60:I60"/>
    <mergeCell ref="A62:I62"/>
    <mergeCell ref="A64:I64"/>
    <mergeCell ref="A66:H66"/>
    <mergeCell ref="A16:I16"/>
    <mergeCell ref="A18:I18"/>
    <mergeCell ref="A20:I20"/>
    <mergeCell ref="A22:I22"/>
    <mergeCell ref="A24:I24"/>
    <mergeCell ref="A32:J32"/>
    <mergeCell ref="A34:J34"/>
    <mergeCell ref="A36:J36"/>
    <mergeCell ref="A38:I38"/>
    <mergeCell ref="A26:I26"/>
    <mergeCell ref="A28:J28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46"/>
  <sheetViews>
    <sheetView rightToLeft="1" workbookViewId="0">
      <selection activeCell="A36" sqref="A36:XFD36"/>
    </sheetView>
  </sheetViews>
  <sheetFormatPr defaultColWidth="9.140625" defaultRowHeight="15.75"/>
  <cols>
    <col min="1" max="1" width="33.85546875" style="163" customWidth="1"/>
    <col min="2" max="3" width="20.5703125" style="163" customWidth="1"/>
    <col min="4" max="4" width="16" style="163" customWidth="1"/>
    <col min="5" max="5" width="30.42578125" style="163" customWidth="1"/>
    <col min="6" max="6" width="28" style="163" customWidth="1"/>
    <col min="7" max="7" width="36.5703125" style="163" customWidth="1"/>
    <col min="8" max="8" width="30.140625" style="163" customWidth="1"/>
    <col min="9" max="9" width="20.42578125" style="163" customWidth="1"/>
    <col min="10" max="10" width="21.7109375" style="163" customWidth="1"/>
    <col min="11" max="16384" width="9.140625" style="163"/>
  </cols>
  <sheetData>
    <row r="1" spans="1:17" s="156" customFormat="1" ht="34.5" customHeight="1">
      <c r="A1" s="389" t="s">
        <v>411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Q1" s="157"/>
    </row>
    <row r="2" spans="1:17" s="135" customFormat="1" ht="16.5" thickBot="1">
      <c r="A2" s="158"/>
      <c r="B2" s="159"/>
      <c r="C2" s="159"/>
      <c r="D2" s="158"/>
      <c r="E2" s="158"/>
      <c r="F2" s="158"/>
      <c r="G2" s="158"/>
      <c r="H2" s="158"/>
      <c r="I2" s="159"/>
      <c r="J2" s="159"/>
      <c r="K2" s="158"/>
      <c r="L2" s="158"/>
      <c r="M2" s="158"/>
      <c r="Q2" s="160"/>
    </row>
    <row r="3" spans="1:17" s="135" customFormat="1" ht="24.75">
      <c r="A3" s="417" t="s">
        <v>263</v>
      </c>
      <c r="B3" s="415" t="s">
        <v>253</v>
      </c>
      <c r="C3" s="415"/>
      <c r="D3" s="415" t="s">
        <v>254</v>
      </c>
      <c r="E3" s="415" t="s">
        <v>255</v>
      </c>
      <c r="F3" s="415" t="s">
        <v>256</v>
      </c>
      <c r="G3" s="415" t="s">
        <v>257</v>
      </c>
      <c r="H3" s="415" t="s">
        <v>258</v>
      </c>
      <c r="I3" s="415" t="s">
        <v>259</v>
      </c>
      <c r="J3" s="415"/>
      <c r="K3" s="415" t="s">
        <v>34</v>
      </c>
      <c r="Q3" s="160"/>
    </row>
    <row r="4" spans="1:17" s="135" customFormat="1" ht="59.25" customHeight="1" thickBot="1">
      <c r="A4" s="418"/>
      <c r="B4" s="145" t="s">
        <v>260</v>
      </c>
      <c r="C4" s="145" t="s">
        <v>261</v>
      </c>
      <c r="D4" s="415"/>
      <c r="E4" s="415"/>
      <c r="F4" s="415"/>
      <c r="G4" s="415"/>
      <c r="H4" s="415"/>
      <c r="I4" s="145" t="s">
        <v>260</v>
      </c>
      <c r="J4" s="145" t="s">
        <v>261</v>
      </c>
      <c r="K4" s="415"/>
      <c r="Q4" s="160"/>
    </row>
    <row r="5" spans="1:17" s="135" customFormat="1" ht="32.25" thickBot="1">
      <c r="A5" s="161" t="s">
        <v>264</v>
      </c>
      <c r="B5" s="206">
        <v>18</v>
      </c>
      <c r="C5" s="206">
        <v>44</v>
      </c>
      <c r="D5" s="206">
        <v>46</v>
      </c>
      <c r="E5" s="206">
        <v>39</v>
      </c>
      <c r="F5" s="206">
        <v>20</v>
      </c>
      <c r="G5" s="206">
        <v>16</v>
      </c>
      <c r="H5" s="206">
        <v>8</v>
      </c>
      <c r="I5" s="206">
        <v>1</v>
      </c>
      <c r="J5" s="206">
        <v>6</v>
      </c>
      <c r="K5" s="207">
        <v>198</v>
      </c>
      <c r="Q5" s="160"/>
    </row>
    <row r="6" spans="1:17" s="135" customFormat="1" ht="32.25" thickBot="1">
      <c r="A6" s="161" t="s">
        <v>265</v>
      </c>
      <c r="B6" s="206">
        <v>6</v>
      </c>
      <c r="C6" s="206">
        <v>27</v>
      </c>
      <c r="D6" s="206">
        <v>13</v>
      </c>
      <c r="E6" s="206">
        <v>7</v>
      </c>
      <c r="F6" s="206">
        <v>2</v>
      </c>
      <c r="G6" s="206">
        <v>1</v>
      </c>
      <c r="H6" s="206">
        <v>2</v>
      </c>
      <c r="I6" s="206" t="s">
        <v>107</v>
      </c>
      <c r="J6" s="206">
        <v>3</v>
      </c>
      <c r="K6" s="208">
        <v>61</v>
      </c>
    </row>
    <row r="7" spans="1:17" s="135" customFormat="1" ht="32.25" thickBot="1">
      <c r="A7" s="161" t="s">
        <v>266</v>
      </c>
      <c r="B7" s="206">
        <v>6</v>
      </c>
      <c r="C7" s="206">
        <v>7</v>
      </c>
      <c r="D7" s="206">
        <v>4</v>
      </c>
      <c r="E7" s="206">
        <v>1</v>
      </c>
      <c r="F7" s="206">
        <v>5</v>
      </c>
      <c r="G7" s="206">
        <v>5</v>
      </c>
      <c r="H7" s="206">
        <v>3</v>
      </c>
      <c r="I7" s="206" t="s">
        <v>107</v>
      </c>
      <c r="J7" s="206">
        <v>1</v>
      </c>
      <c r="K7" s="208">
        <v>32</v>
      </c>
    </row>
    <row r="8" spans="1:17" s="135" customFormat="1" ht="32.25" thickBot="1">
      <c r="A8" s="161" t="s">
        <v>267</v>
      </c>
      <c r="B8" s="206">
        <v>6</v>
      </c>
      <c r="C8" s="206">
        <v>9</v>
      </c>
      <c r="D8" s="206">
        <v>8</v>
      </c>
      <c r="E8" s="206">
        <v>1</v>
      </c>
      <c r="F8" s="206">
        <v>4</v>
      </c>
      <c r="G8" s="206">
        <v>0</v>
      </c>
      <c r="H8" s="206">
        <v>2</v>
      </c>
      <c r="I8" s="206">
        <v>1</v>
      </c>
      <c r="J8" s="206" t="s">
        <v>107</v>
      </c>
      <c r="K8" s="208">
        <v>31</v>
      </c>
    </row>
    <row r="9" spans="1:17" s="135" customFormat="1" ht="32.25" thickBot="1">
      <c r="A9" s="161" t="s">
        <v>268</v>
      </c>
      <c r="B9" s="206">
        <v>5</v>
      </c>
      <c r="C9" s="206">
        <v>6</v>
      </c>
      <c r="D9" s="206">
        <v>7</v>
      </c>
      <c r="E9" s="206">
        <v>3</v>
      </c>
      <c r="F9" s="206">
        <v>1</v>
      </c>
      <c r="G9" s="206">
        <v>1</v>
      </c>
      <c r="H9" s="206">
        <v>1</v>
      </c>
      <c r="I9" s="206" t="s">
        <v>107</v>
      </c>
      <c r="J9" s="206" t="s">
        <v>107</v>
      </c>
      <c r="K9" s="208">
        <v>24</v>
      </c>
    </row>
    <row r="10" spans="1:17" s="135" customFormat="1" ht="32.25" thickBot="1">
      <c r="A10" s="161" t="s">
        <v>269</v>
      </c>
      <c r="B10" s="206" t="s">
        <v>107</v>
      </c>
      <c r="C10" s="206">
        <v>1</v>
      </c>
      <c r="D10" s="206" t="s">
        <v>107</v>
      </c>
      <c r="E10" s="206">
        <v>4</v>
      </c>
      <c r="F10" s="206">
        <v>5</v>
      </c>
      <c r="G10" s="206">
        <v>1</v>
      </c>
      <c r="H10" s="206" t="s">
        <v>107</v>
      </c>
      <c r="I10" s="206" t="s">
        <v>107</v>
      </c>
      <c r="J10" s="206" t="s">
        <v>107</v>
      </c>
      <c r="K10" s="208">
        <v>11</v>
      </c>
    </row>
    <row r="11" spans="1:17" s="135" customFormat="1" ht="32.25" thickBot="1">
      <c r="A11" s="162" t="s">
        <v>270</v>
      </c>
      <c r="B11" s="209">
        <v>41</v>
      </c>
      <c r="C11" s="209">
        <v>94</v>
      </c>
      <c r="D11" s="209">
        <v>78</v>
      </c>
      <c r="E11" s="209">
        <v>55</v>
      </c>
      <c r="F11" s="209">
        <v>37</v>
      </c>
      <c r="G11" s="209">
        <v>24</v>
      </c>
      <c r="H11" s="209">
        <v>16</v>
      </c>
      <c r="I11" s="209">
        <v>2</v>
      </c>
      <c r="J11" s="209">
        <v>10</v>
      </c>
      <c r="K11" s="208">
        <v>357</v>
      </c>
    </row>
    <row r="13" spans="1:17" s="156" customFormat="1" ht="33" customHeight="1">
      <c r="A13" s="389" t="s">
        <v>412</v>
      </c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  <c r="M13" s="389"/>
      <c r="Q13" s="157"/>
    </row>
    <row r="14" spans="1:17" ht="16.5" thickBot="1"/>
    <row r="15" spans="1:17" s="144" customFormat="1" ht="24.75">
      <c r="A15" s="417" t="s">
        <v>263</v>
      </c>
      <c r="B15" s="415" t="s">
        <v>253</v>
      </c>
      <c r="C15" s="415"/>
      <c r="D15" s="415" t="s">
        <v>254</v>
      </c>
      <c r="E15" s="415" t="s">
        <v>255</v>
      </c>
      <c r="F15" s="415" t="s">
        <v>256</v>
      </c>
      <c r="G15" s="415" t="s">
        <v>257</v>
      </c>
      <c r="H15" s="415" t="s">
        <v>258</v>
      </c>
      <c r="I15" s="415" t="s">
        <v>259</v>
      </c>
      <c r="J15" s="415"/>
      <c r="K15" s="415" t="s">
        <v>34</v>
      </c>
    </row>
    <row r="16" spans="1:17" s="144" customFormat="1" ht="61.5" customHeight="1" thickBot="1">
      <c r="A16" s="420"/>
      <c r="B16" s="145" t="s">
        <v>260</v>
      </c>
      <c r="C16" s="145" t="s">
        <v>261</v>
      </c>
      <c r="D16" s="415"/>
      <c r="E16" s="415"/>
      <c r="F16" s="415"/>
      <c r="G16" s="415"/>
      <c r="H16" s="415"/>
      <c r="I16" s="145" t="s">
        <v>260</v>
      </c>
      <c r="J16" s="145" t="s">
        <v>261</v>
      </c>
      <c r="K16" s="415"/>
    </row>
    <row r="17" spans="1:256" s="144" customFormat="1" ht="32.25" thickBot="1">
      <c r="A17" s="164" t="s">
        <v>264</v>
      </c>
      <c r="B17" s="210">
        <v>21</v>
      </c>
      <c r="C17" s="200">
        <v>54</v>
      </c>
      <c r="D17" s="200">
        <v>32</v>
      </c>
      <c r="E17" s="200">
        <v>43</v>
      </c>
      <c r="F17" s="200">
        <v>19</v>
      </c>
      <c r="G17" s="200">
        <v>6</v>
      </c>
      <c r="H17" s="200">
        <v>14</v>
      </c>
      <c r="I17" s="200">
        <v>1</v>
      </c>
      <c r="J17" s="200">
        <v>7</v>
      </c>
      <c r="K17" s="205">
        <v>197</v>
      </c>
      <c r="Q17" s="165"/>
      <c r="R17" s="166"/>
      <c r="S17" s="166"/>
      <c r="T17" s="166"/>
      <c r="U17" s="166"/>
      <c r="V17" s="166"/>
      <c r="W17" s="166"/>
      <c r="X17" s="166"/>
      <c r="Y17" s="166"/>
      <c r="Z17" s="166"/>
      <c r="AA17" s="166"/>
    </row>
    <row r="18" spans="1:256" s="144" customFormat="1" ht="32.25" thickBot="1">
      <c r="A18" s="164" t="s">
        <v>265</v>
      </c>
      <c r="B18" s="210">
        <v>12</v>
      </c>
      <c r="C18" s="200">
        <v>18</v>
      </c>
      <c r="D18" s="200">
        <v>16</v>
      </c>
      <c r="E18" s="200">
        <v>13</v>
      </c>
      <c r="F18" s="200">
        <v>2</v>
      </c>
      <c r="G18" s="200">
        <v>2</v>
      </c>
      <c r="H18" s="200">
        <v>1</v>
      </c>
      <c r="I18" s="200">
        <v>1</v>
      </c>
      <c r="J18" s="200" t="s">
        <v>271</v>
      </c>
      <c r="K18" s="203">
        <v>65</v>
      </c>
      <c r="Q18" s="165"/>
      <c r="R18" s="166"/>
      <c r="S18" s="166"/>
      <c r="T18" s="166"/>
      <c r="U18" s="166"/>
      <c r="V18" s="166"/>
      <c r="W18" s="166"/>
      <c r="X18" s="166"/>
      <c r="Y18" s="166"/>
      <c r="Z18" s="166"/>
      <c r="AA18" s="166"/>
    </row>
    <row r="19" spans="1:256" s="144" customFormat="1" ht="32.25" thickBot="1">
      <c r="A19" s="164" t="s">
        <v>266</v>
      </c>
      <c r="B19" s="210">
        <v>5</v>
      </c>
      <c r="C19" s="200">
        <v>6</v>
      </c>
      <c r="D19" s="200">
        <v>6</v>
      </c>
      <c r="E19" s="200">
        <v>7</v>
      </c>
      <c r="F19" s="200">
        <v>2</v>
      </c>
      <c r="G19" s="200" t="s">
        <v>271</v>
      </c>
      <c r="H19" s="200">
        <v>4</v>
      </c>
      <c r="I19" s="200" t="s">
        <v>271</v>
      </c>
      <c r="J19" s="200">
        <v>1</v>
      </c>
      <c r="K19" s="203">
        <v>31</v>
      </c>
      <c r="Q19" s="165"/>
      <c r="R19" s="166"/>
      <c r="S19" s="166"/>
      <c r="T19" s="166"/>
      <c r="U19" s="166"/>
      <c r="V19" s="166"/>
      <c r="W19" s="166"/>
      <c r="X19" s="166"/>
      <c r="Y19" s="166"/>
      <c r="Z19" s="166"/>
      <c r="AA19" s="166"/>
    </row>
    <row r="20" spans="1:256" s="144" customFormat="1" ht="32.25" thickBot="1">
      <c r="A20" s="164" t="s">
        <v>267</v>
      </c>
      <c r="B20" s="210">
        <v>3</v>
      </c>
      <c r="C20" s="200">
        <v>8</v>
      </c>
      <c r="D20" s="200">
        <v>6</v>
      </c>
      <c r="E20" s="200">
        <v>3</v>
      </c>
      <c r="F20" s="200" t="s">
        <v>271</v>
      </c>
      <c r="G20" s="200" t="s">
        <v>271</v>
      </c>
      <c r="H20" s="200">
        <v>2</v>
      </c>
      <c r="I20" s="200" t="s">
        <v>271</v>
      </c>
      <c r="J20" s="200" t="s">
        <v>271</v>
      </c>
      <c r="K20" s="203">
        <v>22</v>
      </c>
      <c r="Q20" s="165"/>
      <c r="R20" s="166"/>
      <c r="S20" s="166"/>
      <c r="T20" s="166"/>
      <c r="U20" s="166"/>
      <c r="V20" s="166"/>
      <c r="W20" s="166"/>
      <c r="X20" s="166"/>
      <c r="Y20" s="166"/>
      <c r="Z20" s="166"/>
      <c r="AA20" s="166"/>
    </row>
    <row r="21" spans="1:256" s="144" customFormat="1" ht="32.25" thickBot="1">
      <c r="A21" s="164" t="s">
        <v>268</v>
      </c>
      <c r="B21" s="210">
        <v>3</v>
      </c>
      <c r="C21" s="200">
        <v>1</v>
      </c>
      <c r="D21" s="200">
        <v>6</v>
      </c>
      <c r="E21" s="200">
        <v>8</v>
      </c>
      <c r="F21" s="200">
        <v>1</v>
      </c>
      <c r="G21" s="200" t="s">
        <v>271</v>
      </c>
      <c r="H21" s="200">
        <v>1</v>
      </c>
      <c r="I21" s="200" t="s">
        <v>271</v>
      </c>
      <c r="J21" s="200" t="s">
        <v>271</v>
      </c>
      <c r="K21" s="203">
        <v>20</v>
      </c>
      <c r="Q21" s="165"/>
      <c r="R21" s="166"/>
      <c r="S21" s="166"/>
      <c r="T21" s="166"/>
      <c r="U21" s="166"/>
      <c r="V21" s="166"/>
      <c r="W21" s="166"/>
      <c r="X21" s="166"/>
      <c r="Y21" s="166"/>
      <c r="Z21" s="166"/>
      <c r="AA21" s="166"/>
    </row>
    <row r="22" spans="1:256" s="144" customFormat="1" ht="32.25" thickBot="1">
      <c r="A22" s="164" t="s">
        <v>269</v>
      </c>
      <c r="B22" s="210" t="s">
        <v>271</v>
      </c>
      <c r="C22" s="200" t="s">
        <v>271</v>
      </c>
      <c r="D22" s="200" t="s">
        <v>271</v>
      </c>
      <c r="E22" s="200">
        <v>2</v>
      </c>
      <c r="F22" s="200">
        <v>2</v>
      </c>
      <c r="G22" s="200" t="s">
        <v>271</v>
      </c>
      <c r="H22" s="200" t="s">
        <v>271</v>
      </c>
      <c r="I22" s="200" t="s">
        <v>271</v>
      </c>
      <c r="J22" s="200" t="s">
        <v>271</v>
      </c>
      <c r="K22" s="203">
        <v>4</v>
      </c>
      <c r="Q22" s="165"/>
      <c r="R22" s="166"/>
      <c r="S22" s="166"/>
      <c r="T22" s="166"/>
      <c r="U22" s="166"/>
      <c r="V22" s="166"/>
      <c r="W22" s="166"/>
      <c r="X22" s="166"/>
      <c r="Y22" s="166"/>
      <c r="Z22" s="166"/>
      <c r="AA22" s="166"/>
    </row>
    <row r="23" spans="1:256" s="144" customFormat="1" ht="32.25" thickBot="1">
      <c r="A23" s="167" t="s">
        <v>270</v>
      </c>
      <c r="B23" s="204">
        <v>44</v>
      </c>
      <c r="C23" s="204">
        <v>87</v>
      </c>
      <c r="D23" s="204">
        <v>66</v>
      </c>
      <c r="E23" s="204">
        <v>76</v>
      </c>
      <c r="F23" s="204">
        <v>26</v>
      </c>
      <c r="G23" s="204">
        <v>8</v>
      </c>
      <c r="H23" s="204">
        <v>22</v>
      </c>
      <c r="I23" s="204">
        <v>2</v>
      </c>
      <c r="J23" s="204">
        <v>8</v>
      </c>
      <c r="K23" s="203">
        <v>339</v>
      </c>
      <c r="Q23" s="165"/>
      <c r="R23" s="166"/>
      <c r="S23" s="166"/>
      <c r="T23" s="166"/>
      <c r="U23" s="166"/>
      <c r="V23" s="166"/>
      <c r="W23" s="166"/>
      <c r="X23" s="166"/>
      <c r="Y23" s="166"/>
      <c r="Z23" s="166"/>
      <c r="AA23" s="166"/>
    </row>
    <row r="25" spans="1:256" s="168" customFormat="1" ht="42" customHeight="1">
      <c r="A25" s="419" t="s">
        <v>272</v>
      </c>
      <c r="B25" s="419"/>
      <c r="C25" s="419"/>
      <c r="D25" s="419"/>
      <c r="E25" s="419"/>
      <c r="F25" s="419"/>
      <c r="G25" s="419"/>
      <c r="H25" s="51"/>
      <c r="I25" s="51"/>
      <c r="J25" s="51"/>
      <c r="K25" s="51"/>
      <c r="L25" s="51"/>
      <c r="M25" s="51"/>
    </row>
    <row r="26" spans="1:256" s="43" customFormat="1" ht="19.5" thickBot="1">
      <c r="A26" s="169"/>
      <c r="B26" s="169"/>
      <c r="C26" s="169"/>
      <c r="D26" s="169"/>
      <c r="E26" s="169"/>
      <c r="F26" s="169"/>
      <c r="G26" s="169"/>
      <c r="H26"/>
      <c r="I26"/>
      <c r="J26"/>
      <c r="K26"/>
      <c r="L26"/>
      <c r="M26"/>
      <c r="IF26" s="168"/>
      <c r="IG26" s="168"/>
      <c r="IH26" s="168"/>
      <c r="II26" s="168"/>
      <c r="IJ26" s="168"/>
      <c r="IK26" s="168"/>
      <c r="IL26" s="168"/>
      <c r="IM26" s="168"/>
      <c r="IN26" s="168"/>
      <c r="IO26" s="168"/>
      <c r="IP26" s="168"/>
      <c r="IQ26" s="168"/>
      <c r="IR26" s="168"/>
      <c r="IS26" s="168"/>
      <c r="IT26" s="168"/>
      <c r="IU26" s="168"/>
      <c r="IV26" s="168"/>
    </row>
    <row r="27" spans="1:256" s="154" customFormat="1" ht="77.25" customHeight="1" thickBot="1">
      <c r="A27" s="170" t="s">
        <v>273</v>
      </c>
      <c r="B27" s="171">
        <v>1</v>
      </c>
      <c r="C27" s="171">
        <v>2</v>
      </c>
      <c r="D27" s="171">
        <v>3</v>
      </c>
      <c r="E27" s="171">
        <v>4</v>
      </c>
      <c r="F27" s="171">
        <v>5</v>
      </c>
      <c r="G27" s="172" t="s">
        <v>34</v>
      </c>
      <c r="Q27" s="173"/>
      <c r="R27" s="166"/>
      <c r="S27" s="166"/>
      <c r="T27" s="166"/>
      <c r="U27" s="166"/>
      <c r="V27" s="166"/>
      <c r="W27" s="166"/>
      <c r="X27" s="166"/>
      <c r="Y27" s="166"/>
      <c r="Z27" s="166"/>
      <c r="AA27" s="166"/>
    </row>
    <row r="28" spans="1:256" s="154" customFormat="1" ht="33.75" customHeight="1" thickBot="1">
      <c r="A28" s="164" t="s">
        <v>264</v>
      </c>
      <c r="B28" s="221" t="s">
        <v>271</v>
      </c>
      <c r="C28" s="147">
        <v>23</v>
      </c>
      <c r="D28" s="147">
        <v>90</v>
      </c>
      <c r="E28" s="147">
        <v>77</v>
      </c>
      <c r="F28" s="147">
        <v>8</v>
      </c>
      <c r="G28" s="211">
        <v>198</v>
      </c>
      <c r="Q28" s="173"/>
      <c r="R28" s="166"/>
      <c r="S28" s="166"/>
      <c r="T28" s="166"/>
      <c r="U28" s="166"/>
      <c r="V28" s="166"/>
      <c r="W28" s="166"/>
      <c r="X28" s="166"/>
      <c r="Y28" s="166"/>
      <c r="Z28" s="166"/>
      <c r="AA28" s="166"/>
    </row>
    <row r="29" spans="1:256" s="154" customFormat="1" ht="32.25" thickBot="1">
      <c r="A29" s="164" t="s">
        <v>265</v>
      </c>
      <c r="B29" s="221" t="s">
        <v>271</v>
      </c>
      <c r="C29" s="147">
        <v>8</v>
      </c>
      <c r="D29" s="147">
        <v>32</v>
      </c>
      <c r="E29" s="147">
        <v>20</v>
      </c>
      <c r="F29" s="147">
        <v>1</v>
      </c>
      <c r="G29" s="211">
        <v>61</v>
      </c>
      <c r="Q29" s="173"/>
      <c r="R29" s="166"/>
      <c r="S29" s="166"/>
      <c r="T29" s="166"/>
      <c r="U29" s="166"/>
      <c r="V29" s="166"/>
      <c r="W29" s="166"/>
      <c r="X29" s="166"/>
      <c r="Y29" s="166"/>
      <c r="Z29" s="166"/>
      <c r="AA29" s="166"/>
    </row>
    <row r="30" spans="1:256" s="154" customFormat="1" ht="32.25" thickBot="1">
      <c r="A30" s="164" t="s">
        <v>266</v>
      </c>
      <c r="B30" s="221">
        <v>3</v>
      </c>
      <c r="C30" s="147">
        <v>11</v>
      </c>
      <c r="D30" s="147">
        <v>10</v>
      </c>
      <c r="E30" s="147">
        <v>7</v>
      </c>
      <c r="F30" s="147">
        <v>1</v>
      </c>
      <c r="G30" s="211">
        <v>32</v>
      </c>
      <c r="Q30" s="155"/>
    </row>
    <row r="31" spans="1:256" s="154" customFormat="1" ht="32.25" thickBot="1">
      <c r="A31" s="164" t="s">
        <v>267</v>
      </c>
      <c r="B31" s="221">
        <v>1</v>
      </c>
      <c r="C31" s="147">
        <v>7</v>
      </c>
      <c r="D31" s="147">
        <v>17</v>
      </c>
      <c r="E31" s="147">
        <v>5</v>
      </c>
      <c r="F31" s="147">
        <v>1</v>
      </c>
      <c r="G31" s="211">
        <v>31</v>
      </c>
    </row>
    <row r="32" spans="1:256" s="154" customFormat="1" ht="32.25" thickBot="1">
      <c r="A32" s="164" t="s">
        <v>268</v>
      </c>
      <c r="B32" s="221" t="s">
        <v>271</v>
      </c>
      <c r="C32" s="147">
        <v>6</v>
      </c>
      <c r="D32" s="147">
        <v>10</v>
      </c>
      <c r="E32" s="147">
        <v>6</v>
      </c>
      <c r="F32" s="147">
        <v>2</v>
      </c>
      <c r="G32" s="211">
        <v>24</v>
      </c>
    </row>
    <row r="33" spans="1:17" s="154" customFormat="1" ht="32.25" thickBot="1">
      <c r="A33" s="164" t="s">
        <v>269</v>
      </c>
      <c r="B33" s="221" t="s">
        <v>271</v>
      </c>
      <c r="C33" s="147" t="s">
        <v>271</v>
      </c>
      <c r="D33" s="147">
        <v>1</v>
      </c>
      <c r="E33" s="147">
        <v>8</v>
      </c>
      <c r="F33" s="147">
        <v>2</v>
      </c>
      <c r="G33" s="211">
        <v>11</v>
      </c>
    </row>
    <row r="34" spans="1:17" s="154" customFormat="1" ht="32.25" thickBot="1">
      <c r="A34" s="167" t="s">
        <v>270</v>
      </c>
      <c r="B34" s="204">
        <v>4</v>
      </c>
      <c r="C34" s="204">
        <v>55</v>
      </c>
      <c r="D34" s="204">
        <v>160</v>
      </c>
      <c r="E34" s="204">
        <v>123</v>
      </c>
      <c r="F34" s="204">
        <v>15</v>
      </c>
      <c r="G34" s="211">
        <v>357</v>
      </c>
    </row>
    <row r="35" spans="1:17" s="154" customFormat="1">
      <c r="A35" s="215"/>
      <c r="B35" s="216"/>
      <c r="C35" s="216"/>
      <c r="D35" s="216"/>
      <c r="E35" s="216"/>
      <c r="F35" s="216"/>
      <c r="G35" s="217"/>
    </row>
    <row r="36" spans="1:17" s="168" customFormat="1" ht="42" customHeight="1" thickBot="1">
      <c r="A36" s="419" t="s">
        <v>286</v>
      </c>
      <c r="B36" s="419"/>
      <c r="C36" s="419"/>
      <c r="D36" s="419"/>
      <c r="E36" s="419"/>
      <c r="F36" s="419"/>
      <c r="G36" s="419"/>
      <c r="H36" s="51"/>
      <c r="I36" s="51"/>
      <c r="J36" s="51"/>
      <c r="K36" s="51"/>
      <c r="L36" s="51"/>
      <c r="M36" s="51"/>
    </row>
    <row r="37" spans="1:17" s="154" customFormat="1" ht="82.5" customHeight="1" thickBot="1">
      <c r="A37" s="228" t="s">
        <v>273</v>
      </c>
      <c r="B37" s="224">
        <v>1</v>
      </c>
      <c r="C37" s="224">
        <v>2</v>
      </c>
      <c r="D37" s="224">
        <v>3</v>
      </c>
      <c r="E37" s="224">
        <v>4</v>
      </c>
      <c r="F37" s="224">
        <v>5</v>
      </c>
      <c r="G37" s="229" t="s">
        <v>34</v>
      </c>
    </row>
    <row r="38" spans="1:17" s="154" customFormat="1" ht="32.25" thickBot="1">
      <c r="A38" s="164" t="s">
        <v>264</v>
      </c>
      <c r="B38" s="200">
        <v>1</v>
      </c>
      <c r="C38" s="200">
        <v>37</v>
      </c>
      <c r="D38" s="200">
        <v>84</v>
      </c>
      <c r="E38" s="200">
        <v>58</v>
      </c>
      <c r="F38" s="200">
        <v>17</v>
      </c>
      <c r="G38" s="203">
        <v>197</v>
      </c>
    </row>
    <row r="39" spans="1:17" s="154" customFormat="1" ht="32.25" thickBot="1">
      <c r="A39" s="164" t="s">
        <v>265</v>
      </c>
      <c r="B39" s="200">
        <v>2</v>
      </c>
      <c r="C39" s="200">
        <v>16</v>
      </c>
      <c r="D39" s="200">
        <v>23</v>
      </c>
      <c r="E39" s="200">
        <v>17</v>
      </c>
      <c r="F39" s="200">
        <v>7</v>
      </c>
      <c r="G39" s="203">
        <v>65</v>
      </c>
    </row>
    <row r="40" spans="1:17" s="154" customFormat="1" ht="32.25" thickBot="1">
      <c r="A40" s="164" t="s">
        <v>266</v>
      </c>
      <c r="B40" s="200" t="s">
        <v>107</v>
      </c>
      <c r="C40" s="200">
        <v>8</v>
      </c>
      <c r="D40" s="200">
        <v>11</v>
      </c>
      <c r="E40" s="200">
        <v>6</v>
      </c>
      <c r="F40" s="200">
        <v>6</v>
      </c>
      <c r="G40" s="203">
        <v>31</v>
      </c>
      <c r="Q40" s="213"/>
    </row>
    <row r="41" spans="1:17" s="154" customFormat="1" ht="32.25" thickBot="1">
      <c r="A41" s="164" t="s">
        <v>267</v>
      </c>
      <c r="B41" s="200" t="s">
        <v>107</v>
      </c>
      <c r="C41" s="200">
        <v>5</v>
      </c>
      <c r="D41" s="200">
        <v>3</v>
      </c>
      <c r="E41" s="200">
        <v>8</v>
      </c>
      <c r="F41" s="200">
        <v>4</v>
      </c>
      <c r="G41" s="203">
        <v>20</v>
      </c>
    </row>
    <row r="42" spans="1:17" s="154" customFormat="1" ht="32.25" thickBot="1">
      <c r="A42" s="164" t="s">
        <v>268</v>
      </c>
      <c r="B42" s="200" t="s">
        <v>107</v>
      </c>
      <c r="C42" s="200">
        <v>6</v>
      </c>
      <c r="D42" s="200">
        <v>10</v>
      </c>
      <c r="E42" s="200">
        <v>5</v>
      </c>
      <c r="F42" s="200">
        <v>1</v>
      </c>
      <c r="G42" s="203">
        <v>22</v>
      </c>
      <c r="Q42" s="214"/>
    </row>
    <row r="43" spans="1:17" s="154" customFormat="1" ht="32.25" thickBot="1">
      <c r="A43" s="164" t="s">
        <v>269</v>
      </c>
      <c r="B43" s="200" t="s">
        <v>107</v>
      </c>
      <c r="C43" s="200" t="s">
        <v>107</v>
      </c>
      <c r="D43" s="200">
        <v>1</v>
      </c>
      <c r="E43" s="200">
        <v>3</v>
      </c>
      <c r="F43" s="200" t="s">
        <v>107</v>
      </c>
      <c r="G43" s="203">
        <v>4</v>
      </c>
    </row>
    <row r="44" spans="1:17" s="154" customFormat="1" ht="32.25" thickBot="1">
      <c r="A44" s="167" t="s">
        <v>270</v>
      </c>
      <c r="B44" s="204">
        <v>3</v>
      </c>
      <c r="C44" s="204">
        <v>72</v>
      </c>
      <c r="D44" s="204">
        <v>132</v>
      </c>
      <c r="E44" s="204">
        <v>97</v>
      </c>
      <c r="F44" s="204">
        <v>35</v>
      </c>
      <c r="G44" s="203">
        <v>339</v>
      </c>
    </row>
    <row r="46" spans="1:17" s="9" customFormat="1" ht="45" customHeight="1">
      <c r="A46" s="399" t="s">
        <v>54</v>
      </c>
      <c r="B46" s="399"/>
      <c r="C46" s="399"/>
    </row>
  </sheetData>
  <mergeCells count="23">
    <mergeCell ref="I15:J15"/>
    <mergeCell ref="K15:K16"/>
    <mergeCell ref="D15:D16"/>
    <mergeCell ref="E15:E16"/>
    <mergeCell ref="F15:F16"/>
    <mergeCell ref="G15:G16"/>
    <mergeCell ref="H15:H16"/>
    <mergeCell ref="A46:C46"/>
    <mergeCell ref="A1:M1"/>
    <mergeCell ref="A3:A4"/>
    <mergeCell ref="B3:C3"/>
    <mergeCell ref="D3:D4"/>
    <mergeCell ref="E3:E4"/>
    <mergeCell ref="F3:F4"/>
    <mergeCell ref="G3:G4"/>
    <mergeCell ref="H3:H4"/>
    <mergeCell ref="I3:J3"/>
    <mergeCell ref="K3:K4"/>
    <mergeCell ref="A36:G36"/>
    <mergeCell ref="A25:G25"/>
    <mergeCell ref="A13:M13"/>
    <mergeCell ref="A15:A16"/>
    <mergeCell ref="B15:C1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66"/>
  <sheetViews>
    <sheetView rightToLeft="1" workbookViewId="0">
      <selection activeCell="A8" sqref="A8"/>
    </sheetView>
  </sheetViews>
  <sheetFormatPr defaultRowHeight="15"/>
  <cols>
    <col min="1" max="1" width="34.28515625" customWidth="1"/>
    <col min="2" max="2" width="21.7109375" customWidth="1"/>
    <col min="3" max="3" width="20" customWidth="1"/>
    <col min="4" max="4" width="18.42578125" customWidth="1"/>
    <col min="5" max="5" width="18.5703125" customWidth="1"/>
    <col min="6" max="6" width="27.85546875" customWidth="1"/>
    <col min="7" max="7" width="41.28515625" customWidth="1"/>
    <col min="8" max="8" width="31" customWidth="1"/>
    <col min="9" max="9" width="23" customWidth="1"/>
    <col min="10" max="10" width="19.28515625" customWidth="1"/>
  </cols>
  <sheetData>
    <row r="1" spans="1:17" s="156" customFormat="1" ht="33" customHeight="1">
      <c r="A1" s="389" t="s">
        <v>406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Q1" s="157"/>
    </row>
    <row r="2" spans="1:17" s="156" customFormat="1" ht="33" customHeight="1" thickBo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Q2" s="157"/>
    </row>
    <row r="3" spans="1:17" s="154" customFormat="1" ht="62.25" customHeight="1">
      <c r="A3" s="421" t="s">
        <v>351</v>
      </c>
      <c r="B3" s="415" t="s">
        <v>253</v>
      </c>
      <c r="C3" s="415"/>
      <c r="D3" s="415" t="s">
        <v>254</v>
      </c>
      <c r="E3" s="415" t="s">
        <v>255</v>
      </c>
      <c r="F3" s="415" t="s">
        <v>256</v>
      </c>
      <c r="G3" s="415" t="s">
        <v>257</v>
      </c>
      <c r="H3" s="415" t="s">
        <v>258</v>
      </c>
      <c r="I3" s="415" t="s">
        <v>259</v>
      </c>
      <c r="J3" s="415"/>
      <c r="K3" s="415" t="s">
        <v>34</v>
      </c>
    </row>
    <row r="4" spans="1:17" s="154" customFormat="1" ht="48" customHeight="1" thickBot="1">
      <c r="A4" s="422"/>
      <c r="B4" s="227" t="s">
        <v>260</v>
      </c>
      <c r="C4" s="227" t="s">
        <v>261</v>
      </c>
      <c r="D4" s="415"/>
      <c r="E4" s="415"/>
      <c r="F4" s="415"/>
      <c r="G4" s="415"/>
      <c r="H4" s="415"/>
      <c r="I4" s="227" t="s">
        <v>260</v>
      </c>
      <c r="J4" s="227" t="s">
        <v>261</v>
      </c>
      <c r="K4" s="415"/>
    </row>
    <row r="5" spans="1:17" s="154" customFormat="1" ht="42.75" thickBot="1">
      <c r="A5" s="232" t="s">
        <v>323</v>
      </c>
      <c r="B5" s="233">
        <v>2</v>
      </c>
      <c r="C5" s="233">
        <v>16</v>
      </c>
      <c r="D5" s="233">
        <v>10</v>
      </c>
      <c r="E5" s="233">
        <v>13</v>
      </c>
      <c r="F5" s="233">
        <v>8</v>
      </c>
      <c r="G5" s="233">
        <v>5</v>
      </c>
      <c r="H5" s="233">
        <v>4</v>
      </c>
      <c r="I5" s="233">
        <v>1</v>
      </c>
      <c r="J5" s="233" t="s">
        <v>107</v>
      </c>
      <c r="K5" s="234">
        <v>59</v>
      </c>
    </row>
    <row r="6" spans="1:17" s="154" customFormat="1" ht="42.75" thickBot="1">
      <c r="A6" s="232" t="s">
        <v>324</v>
      </c>
      <c r="B6" s="233">
        <v>7</v>
      </c>
      <c r="C6" s="233">
        <v>8</v>
      </c>
      <c r="D6" s="233">
        <v>11</v>
      </c>
      <c r="E6" s="233">
        <v>5</v>
      </c>
      <c r="F6" s="233">
        <v>2</v>
      </c>
      <c r="G6" s="233">
        <v>5</v>
      </c>
      <c r="H6" s="233">
        <v>1</v>
      </c>
      <c r="I6" s="233" t="s">
        <v>107</v>
      </c>
      <c r="J6" s="233">
        <v>2</v>
      </c>
      <c r="K6" s="235">
        <v>41</v>
      </c>
    </row>
    <row r="7" spans="1:17" s="154" customFormat="1" ht="42.75" thickBot="1">
      <c r="A7" s="232" t="s">
        <v>325</v>
      </c>
      <c r="B7" s="233">
        <v>1</v>
      </c>
      <c r="C7" s="233">
        <v>12</v>
      </c>
      <c r="D7" s="233">
        <v>6</v>
      </c>
      <c r="E7" s="233">
        <v>6</v>
      </c>
      <c r="F7" s="233">
        <v>2</v>
      </c>
      <c r="G7" s="233">
        <v>1</v>
      </c>
      <c r="H7" s="233">
        <v>1</v>
      </c>
      <c r="I7" s="233" t="s">
        <v>107</v>
      </c>
      <c r="J7" s="233">
        <v>2</v>
      </c>
      <c r="K7" s="235">
        <v>31</v>
      </c>
    </row>
    <row r="8" spans="1:17" s="154" customFormat="1" ht="42.75" thickBot="1">
      <c r="A8" s="232" t="s">
        <v>326</v>
      </c>
      <c r="B8" s="233">
        <v>3</v>
      </c>
      <c r="C8" s="233">
        <v>6</v>
      </c>
      <c r="D8" s="233">
        <v>10</v>
      </c>
      <c r="E8" s="233">
        <v>2</v>
      </c>
      <c r="F8" s="233">
        <v>2</v>
      </c>
      <c r="G8" s="233">
        <v>2</v>
      </c>
      <c r="H8" s="233">
        <v>1</v>
      </c>
      <c r="I8" s="233" t="s">
        <v>107</v>
      </c>
      <c r="J8" s="233">
        <v>2</v>
      </c>
      <c r="K8" s="235">
        <v>28</v>
      </c>
    </row>
    <row r="9" spans="1:17" s="154" customFormat="1" ht="42.75" thickBot="1">
      <c r="A9" s="232" t="s">
        <v>327</v>
      </c>
      <c r="B9" s="233">
        <v>4</v>
      </c>
      <c r="C9" s="233">
        <v>5</v>
      </c>
      <c r="D9" s="233">
        <v>7</v>
      </c>
      <c r="E9" s="233">
        <v>5</v>
      </c>
      <c r="F9" s="233">
        <v>4</v>
      </c>
      <c r="G9" s="233" t="s">
        <v>107</v>
      </c>
      <c r="H9" s="233" t="s">
        <v>107</v>
      </c>
      <c r="I9" s="233" t="s">
        <v>107</v>
      </c>
      <c r="J9" s="233">
        <v>2</v>
      </c>
      <c r="K9" s="235">
        <v>27</v>
      </c>
    </row>
    <row r="10" spans="1:17" s="154" customFormat="1" ht="42.75" thickBot="1">
      <c r="A10" s="232" t="s">
        <v>328</v>
      </c>
      <c r="B10" s="233">
        <v>1</v>
      </c>
      <c r="C10" s="233">
        <v>4</v>
      </c>
      <c r="D10" s="233">
        <v>6</v>
      </c>
      <c r="E10" s="233">
        <v>11</v>
      </c>
      <c r="F10" s="233">
        <v>1</v>
      </c>
      <c r="G10" s="233" t="s">
        <v>107</v>
      </c>
      <c r="H10" s="233">
        <v>2</v>
      </c>
      <c r="I10" s="233" t="s">
        <v>107</v>
      </c>
      <c r="J10" s="233" t="s">
        <v>107</v>
      </c>
      <c r="K10" s="235">
        <v>25</v>
      </c>
    </row>
    <row r="11" spans="1:17" s="154" customFormat="1" ht="42.75" thickBot="1">
      <c r="A11" s="232" t="s">
        <v>329</v>
      </c>
      <c r="B11" s="233">
        <v>3</v>
      </c>
      <c r="C11" s="233">
        <v>7</v>
      </c>
      <c r="D11" s="233">
        <v>7</v>
      </c>
      <c r="E11" s="233">
        <v>1</v>
      </c>
      <c r="F11" s="233">
        <v>3</v>
      </c>
      <c r="G11" s="233" t="s">
        <v>107</v>
      </c>
      <c r="H11" s="233">
        <v>2</v>
      </c>
      <c r="I11" s="233" t="s">
        <v>107</v>
      </c>
      <c r="J11" s="233" t="s">
        <v>107</v>
      </c>
      <c r="K11" s="235">
        <v>23</v>
      </c>
    </row>
    <row r="12" spans="1:17" s="154" customFormat="1" ht="42.75" thickBot="1">
      <c r="A12" s="232" t="s">
        <v>330</v>
      </c>
      <c r="B12" s="233">
        <v>4</v>
      </c>
      <c r="C12" s="233">
        <v>11</v>
      </c>
      <c r="D12" s="233">
        <v>5</v>
      </c>
      <c r="E12" s="233">
        <v>1</v>
      </c>
      <c r="F12" s="233" t="s">
        <v>107</v>
      </c>
      <c r="G12" s="233" t="s">
        <v>107</v>
      </c>
      <c r="H12" s="233" t="s">
        <v>107</v>
      </c>
      <c r="I12" s="233" t="s">
        <v>107</v>
      </c>
      <c r="J12" s="233" t="s">
        <v>107</v>
      </c>
      <c r="K12" s="235">
        <v>21</v>
      </c>
    </row>
    <row r="13" spans="1:17" s="154" customFormat="1" ht="42.75" thickBot="1">
      <c r="A13" s="232" t="s">
        <v>331</v>
      </c>
      <c r="B13" s="233">
        <v>1</v>
      </c>
      <c r="C13" s="233">
        <v>5</v>
      </c>
      <c r="D13" s="233">
        <v>2</v>
      </c>
      <c r="E13" s="233">
        <v>3</v>
      </c>
      <c r="F13" s="233">
        <v>3</v>
      </c>
      <c r="G13" s="233">
        <v>4</v>
      </c>
      <c r="H13" s="233" t="s">
        <v>107</v>
      </c>
      <c r="I13" s="233" t="s">
        <v>107</v>
      </c>
      <c r="J13" s="233" t="s">
        <v>107</v>
      </c>
      <c r="K13" s="235">
        <v>18</v>
      </c>
    </row>
    <row r="14" spans="1:17" s="154" customFormat="1" ht="42.75" thickBot="1">
      <c r="A14" s="232" t="s">
        <v>332</v>
      </c>
      <c r="B14" s="233">
        <v>3</v>
      </c>
      <c r="C14" s="233">
        <v>2</v>
      </c>
      <c r="D14" s="233">
        <v>3</v>
      </c>
      <c r="E14" s="233">
        <v>3</v>
      </c>
      <c r="F14" s="233">
        <v>1</v>
      </c>
      <c r="G14" s="233">
        <v>1</v>
      </c>
      <c r="H14" s="233">
        <v>1</v>
      </c>
      <c r="I14" s="233" t="s">
        <v>107</v>
      </c>
      <c r="J14" s="233" t="s">
        <v>107</v>
      </c>
      <c r="K14" s="235">
        <v>14</v>
      </c>
    </row>
    <row r="15" spans="1:17" s="154" customFormat="1" ht="42.75" thickBot="1">
      <c r="A15" s="232" t="s">
        <v>333</v>
      </c>
      <c r="B15" s="233">
        <v>1</v>
      </c>
      <c r="C15" s="233">
        <v>3</v>
      </c>
      <c r="D15" s="233">
        <v>2</v>
      </c>
      <c r="E15" s="233">
        <v>1</v>
      </c>
      <c r="F15" s="233">
        <v>1</v>
      </c>
      <c r="G15" s="233">
        <v>3</v>
      </c>
      <c r="H15" s="233" t="s">
        <v>107</v>
      </c>
      <c r="I15" s="233" t="s">
        <v>107</v>
      </c>
      <c r="J15" s="233">
        <v>1</v>
      </c>
      <c r="K15" s="235">
        <v>12</v>
      </c>
    </row>
    <row r="16" spans="1:17" s="154" customFormat="1" ht="42.75" thickBot="1">
      <c r="A16" s="232" t="s">
        <v>334</v>
      </c>
      <c r="B16" s="233" t="s">
        <v>107</v>
      </c>
      <c r="C16" s="233">
        <v>1</v>
      </c>
      <c r="D16" s="233" t="s">
        <v>107</v>
      </c>
      <c r="E16" s="233">
        <v>4</v>
      </c>
      <c r="F16" s="233">
        <v>4</v>
      </c>
      <c r="G16" s="233">
        <v>1</v>
      </c>
      <c r="H16" s="233" t="s">
        <v>107</v>
      </c>
      <c r="I16" s="233" t="s">
        <v>107</v>
      </c>
      <c r="J16" s="233" t="s">
        <v>107</v>
      </c>
      <c r="K16" s="235">
        <v>10</v>
      </c>
    </row>
    <row r="17" spans="1:11" s="154" customFormat="1" ht="42.75" thickBot="1">
      <c r="A17" s="232" t="s">
        <v>335</v>
      </c>
      <c r="B17" s="233">
        <v>2</v>
      </c>
      <c r="C17" s="233">
        <v>1</v>
      </c>
      <c r="D17" s="233">
        <v>1</v>
      </c>
      <c r="E17" s="233" t="s">
        <v>107</v>
      </c>
      <c r="F17" s="233">
        <v>1</v>
      </c>
      <c r="G17" s="233">
        <v>2</v>
      </c>
      <c r="H17" s="233">
        <v>3</v>
      </c>
      <c r="I17" s="233" t="s">
        <v>107</v>
      </c>
      <c r="J17" s="233" t="s">
        <v>107</v>
      </c>
      <c r="K17" s="235">
        <v>10</v>
      </c>
    </row>
    <row r="18" spans="1:11" s="154" customFormat="1" ht="42.75" thickBot="1">
      <c r="A18" s="232" t="s">
        <v>336</v>
      </c>
      <c r="B18" s="233">
        <v>3</v>
      </c>
      <c r="C18" s="233">
        <v>1</v>
      </c>
      <c r="D18" s="233">
        <v>1</v>
      </c>
      <c r="E18" s="233" t="s">
        <v>107</v>
      </c>
      <c r="F18" s="233">
        <v>1</v>
      </c>
      <c r="G18" s="233" t="s">
        <v>107</v>
      </c>
      <c r="H18" s="233" t="s">
        <v>107</v>
      </c>
      <c r="I18" s="233" t="s">
        <v>107</v>
      </c>
      <c r="J18" s="233" t="s">
        <v>107</v>
      </c>
      <c r="K18" s="235">
        <v>6</v>
      </c>
    </row>
    <row r="19" spans="1:11" s="154" customFormat="1" ht="42.75" thickBot="1">
      <c r="A19" s="232" t="s">
        <v>337</v>
      </c>
      <c r="B19" s="233">
        <v>1</v>
      </c>
      <c r="C19" s="233">
        <v>3</v>
      </c>
      <c r="D19" s="233">
        <v>2</v>
      </c>
      <c r="E19" s="233" t="s">
        <v>107</v>
      </c>
      <c r="F19" s="233" t="s">
        <v>107</v>
      </c>
      <c r="G19" s="233" t="s">
        <v>107</v>
      </c>
      <c r="H19" s="233" t="s">
        <v>107</v>
      </c>
      <c r="I19" s="233" t="s">
        <v>107</v>
      </c>
      <c r="J19" s="233" t="s">
        <v>107</v>
      </c>
      <c r="K19" s="235">
        <v>6</v>
      </c>
    </row>
    <row r="20" spans="1:11" s="154" customFormat="1" ht="42.75" thickBot="1">
      <c r="A20" s="232" t="s">
        <v>338</v>
      </c>
      <c r="B20" s="233">
        <v>2</v>
      </c>
      <c r="C20" s="233">
        <v>2</v>
      </c>
      <c r="D20" s="233">
        <v>1</v>
      </c>
      <c r="E20" s="233" t="s">
        <v>107</v>
      </c>
      <c r="F20" s="233" t="s">
        <v>107</v>
      </c>
      <c r="G20" s="233" t="s">
        <v>107</v>
      </c>
      <c r="H20" s="233" t="s">
        <v>107</v>
      </c>
      <c r="I20" s="233">
        <v>1</v>
      </c>
      <c r="J20" s="233" t="s">
        <v>107</v>
      </c>
      <c r="K20" s="235">
        <v>6</v>
      </c>
    </row>
    <row r="21" spans="1:11" s="154" customFormat="1" ht="42.75" thickBot="1">
      <c r="A21" s="232" t="s">
        <v>339</v>
      </c>
      <c r="B21" s="233">
        <v>1</v>
      </c>
      <c r="C21" s="233">
        <v>1</v>
      </c>
      <c r="D21" s="233">
        <v>2</v>
      </c>
      <c r="E21" s="233" t="s">
        <v>107</v>
      </c>
      <c r="F21" s="233" t="s">
        <v>107</v>
      </c>
      <c r="G21" s="233" t="s">
        <v>107</v>
      </c>
      <c r="H21" s="233" t="s">
        <v>107</v>
      </c>
      <c r="I21" s="233" t="s">
        <v>107</v>
      </c>
      <c r="J21" s="233" t="s">
        <v>107</v>
      </c>
      <c r="K21" s="235">
        <v>4</v>
      </c>
    </row>
    <row r="22" spans="1:11" s="154" customFormat="1" ht="42.75" thickBot="1">
      <c r="A22" s="232" t="s">
        <v>340</v>
      </c>
      <c r="B22" s="233">
        <v>1</v>
      </c>
      <c r="C22" s="233">
        <v>2</v>
      </c>
      <c r="D22" s="233">
        <v>1</v>
      </c>
      <c r="E22" s="233" t="s">
        <v>107</v>
      </c>
      <c r="F22" s="233" t="s">
        <v>107</v>
      </c>
      <c r="G22" s="233" t="s">
        <v>107</v>
      </c>
      <c r="H22" s="233" t="s">
        <v>107</v>
      </c>
      <c r="I22" s="233" t="s">
        <v>107</v>
      </c>
      <c r="J22" s="233" t="s">
        <v>107</v>
      </c>
      <c r="K22" s="235">
        <v>4</v>
      </c>
    </row>
    <row r="23" spans="1:11" s="154" customFormat="1" ht="42.75" thickBot="1">
      <c r="A23" s="232" t="s">
        <v>341</v>
      </c>
      <c r="B23" s="233" t="s">
        <v>107</v>
      </c>
      <c r="C23" s="233">
        <v>1</v>
      </c>
      <c r="D23" s="233">
        <v>1</v>
      </c>
      <c r="E23" s="233" t="s">
        <v>107</v>
      </c>
      <c r="F23" s="233" t="s">
        <v>107</v>
      </c>
      <c r="G23" s="233" t="s">
        <v>107</v>
      </c>
      <c r="H23" s="233" t="s">
        <v>107</v>
      </c>
      <c r="I23" s="233" t="s">
        <v>107</v>
      </c>
      <c r="J23" s="233" t="s">
        <v>107</v>
      </c>
      <c r="K23" s="235">
        <v>2</v>
      </c>
    </row>
    <row r="24" spans="1:11" s="154" customFormat="1" ht="42.75" thickBot="1">
      <c r="A24" s="232" t="s">
        <v>342</v>
      </c>
      <c r="B24" s="233">
        <v>1</v>
      </c>
      <c r="C24" s="233" t="s">
        <v>107</v>
      </c>
      <c r="D24" s="233" t="s">
        <v>107</v>
      </c>
      <c r="E24" s="233" t="s">
        <v>107</v>
      </c>
      <c r="F24" s="233">
        <v>1</v>
      </c>
      <c r="G24" s="233" t="s">
        <v>107</v>
      </c>
      <c r="H24" s="233" t="s">
        <v>107</v>
      </c>
      <c r="I24" s="233" t="s">
        <v>107</v>
      </c>
      <c r="J24" s="233" t="s">
        <v>107</v>
      </c>
      <c r="K24" s="235">
        <v>2</v>
      </c>
    </row>
    <row r="25" spans="1:11" s="154" customFormat="1" ht="42.75" thickBot="1">
      <c r="A25" s="232" t="s">
        <v>343</v>
      </c>
      <c r="B25" s="233" t="s">
        <v>107</v>
      </c>
      <c r="C25" s="233">
        <v>1</v>
      </c>
      <c r="D25" s="233" t="s">
        <v>107</v>
      </c>
      <c r="E25" s="233" t="s">
        <v>107</v>
      </c>
      <c r="F25" s="233" t="s">
        <v>107</v>
      </c>
      <c r="G25" s="233" t="s">
        <v>107</v>
      </c>
      <c r="H25" s="233" t="s">
        <v>107</v>
      </c>
      <c r="I25" s="233" t="s">
        <v>107</v>
      </c>
      <c r="J25" s="233">
        <v>1</v>
      </c>
      <c r="K25" s="235">
        <v>2</v>
      </c>
    </row>
    <row r="26" spans="1:11" s="154" customFormat="1" ht="42.75" thickBot="1">
      <c r="A26" s="232" t="s">
        <v>344</v>
      </c>
      <c r="B26" s="233" t="s">
        <v>107</v>
      </c>
      <c r="C26" s="233" t="s">
        <v>107</v>
      </c>
      <c r="D26" s="233" t="s">
        <v>107</v>
      </c>
      <c r="E26" s="233" t="s">
        <v>107</v>
      </c>
      <c r="F26" s="233">
        <v>1</v>
      </c>
      <c r="G26" s="233" t="s">
        <v>107</v>
      </c>
      <c r="H26" s="233" t="s">
        <v>107</v>
      </c>
      <c r="I26" s="233" t="s">
        <v>107</v>
      </c>
      <c r="J26" s="233" t="s">
        <v>107</v>
      </c>
      <c r="K26" s="235">
        <v>1</v>
      </c>
    </row>
    <row r="27" spans="1:11" s="154" customFormat="1" ht="42.75" thickBot="1">
      <c r="A27" s="232" t="s">
        <v>345</v>
      </c>
      <c r="B27" s="233" t="s">
        <v>107</v>
      </c>
      <c r="C27" s="233" t="s">
        <v>107</v>
      </c>
      <c r="D27" s="233" t="s">
        <v>107</v>
      </c>
      <c r="E27" s="233" t="s">
        <v>107</v>
      </c>
      <c r="F27" s="233" t="s">
        <v>107</v>
      </c>
      <c r="G27" s="233" t="s">
        <v>107</v>
      </c>
      <c r="H27" s="233">
        <v>1</v>
      </c>
      <c r="I27" s="233" t="s">
        <v>107</v>
      </c>
      <c r="J27" s="233" t="s">
        <v>107</v>
      </c>
      <c r="K27" s="235">
        <v>1</v>
      </c>
    </row>
    <row r="28" spans="1:11" s="154" customFormat="1" ht="42.75" thickBot="1">
      <c r="A28" s="232" t="s">
        <v>346</v>
      </c>
      <c r="B28" s="233" t="s">
        <v>107</v>
      </c>
      <c r="C28" s="233">
        <v>1</v>
      </c>
      <c r="D28" s="233" t="s">
        <v>107</v>
      </c>
      <c r="E28" s="233" t="s">
        <v>107</v>
      </c>
      <c r="F28" s="233" t="s">
        <v>107</v>
      </c>
      <c r="G28" s="233" t="s">
        <v>107</v>
      </c>
      <c r="H28" s="233" t="s">
        <v>107</v>
      </c>
      <c r="I28" s="233" t="s">
        <v>107</v>
      </c>
      <c r="J28" s="233" t="s">
        <v>107</v>
      </c>
      <c r="K28" s="235">
        <v>1</v>
      </c>
    </row>
    <row r="29" spans="1:11" s="154" customFormat="1" ht="42.75" thickBot="1">
      <c r="A29" s="232" t="s">
        <v>347</v>
      </c>
      <c r="B29" s="233" t="s">
        <v>107</v>
      </c>
      <c r="C29" s="233" t="s">
        <v>107</v>
      </c>
      <c r="D29" s="233" t="s">
        <v>107</v>
      </c>
      <c r="E29" s="233" t="s">
        <v>107</v>
      </c>
      <c r="F29" s="233">
        <v>1</v>
      </c>
      <c r="G29" s="233" t="s">
        <v>107</v>
      </c>
      <c r="H29" s="233" t="s">
        <v>107</v>
      </c>
      <c r="I29" s="233" t="s">
        <v>107</v>
      </c>
      <c r="J29" s="233" t="s">
        <v>107</v>
      </c>
      <c r="K29" s="235">
        <v>1</v>
      </c>
    </row>
    <row r="30" spans="1:11" s="154" customFormat="1" ht="42.75" thickBot="1">
      <c r="A30" s="232" t="s">
        <v>348</v>
      </c>
      <c r="B30" s="233" t="s">
        <v>107</v>
      </c>
      <c r="C30" s="233" t="s">
        <v>107</v>
      </c>
      <c r="D30" s="233" t="s">
        <v>107</v>
      </c>
      <c r="E30" s="233" t="s">
        <v>107</v>
      </c>
      <c r="F30" s="233">
        <v>1</v>
      </c>
      <c r="G30" s="233" t="s">
        <v>107</v>
      </c>
      <c r="H30" s="233" t="s">
        <v>107</v>
      </c>
      <c r="I30" s="233" t="s">
        <v>107</v>
      </c>
      <c r="J30" s="233" t="s">
        <v>107</v>
      </c>
      <c r="K30" s="235">
        <v>1</v>
      </c>
    </row>
    <row r="31" spans="1:11" s="154" customFormat="1" ht="42.75" thickBot="1">
      <c r="A31" s="232" t="s">
        <v>349</v>
      </c>
      <c r="B31" s="233" t="s">
        <v>107</v>
      </c>
      <c r="C31" s="233">
        <v>1</v>
      </c>
      <c r="D31" s="233" t="s">
        <v>107</v>
      </c>
      <c r="E31" s="233" t="s">
        <v>107</v>
      </c>
      <c r="F31" s="233">
        <v>0</v>
      </c>
      <c r="G31" s="233" t="s">
        <v>107</v>
      </c>
      <c r="H31" s="233" t="s">
        <v>107</v>
      </c>
      <c r="I31" s="233" t="s">
        <v>107</v>
      </c>
      <c r="J31" s="233" t="s">
        <v>107</v>
      </c>
      <c r="K31" s="235">
        <v>1</v>
      </c>
    </row>
    <row r="32" spans="1:11" s="154" customFormat="1" ht="37.5" customHeight="1" thickBot="1">
      <c r="A32" s="237" t="s">
        <v>322</v>
      </c>
      <c r="B32" s="236">
        <v>41</v>
      </c>
      <c r="C32" s="236">
        <v>94</v>
      </c>
      <c r="D32" s="236">
        <v>78</v>
      </c>
      <c r="E32" s="236">
        <v>55</v>
      </c>
      <c r="F32" s="236">
        <v>37</v>
      </c>
      <c r="G32" s="236">
        <v>24</v>
      </c>
      <c r="H32" s="236">
        <v>16</v>
      </c>
      <c r="I32" s="236">
        <v>2</v>
      </c>
      <c r="J32" s="236">
        <v>10</v>
      </c>
      <c r="K32" s="235">
        <v>357</v>
      </c>
    </row>
    <row r="33" spans="1:17" s="154" customFormat="1" ht="21" customHeight="1">
      <c r="A33" s="218"/>
      <c r="B33" s="219"/>
      <c r="C33" s="219"/>
      <c r="D33" s="219"/>
      <c r="E33" s="219"/>
      <c r="F33" s="219"/>
      <c r="G33" s="219"/>
      <c r="H33" s="219"/>
      <c r="I33" s="219"/>
      <c r="J33" s="219"/>
      <c r="K33" s="219"/>
    </row>
    <row r="34" spans="1:17" s="156" customFormat="1" ht="33" customHeight="1">
      <c r="A34" s="389" t="s">
        <v>407</v>
      </c>
      <c r="B34" s="389"/>
      <c r="C34" s="389"/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Q34" s="157"/>
    </row>
    <row r="35" spans="1:17" s="156" customFormat="1" ht="33" customHeight="1" thickBot="1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Q35" s="157"/>
    </row>
    <row r="36" spans="1:17" s="154" customFormat="1" ht="51" customHeight="1">
      <c r="A36" s="421" t="s">
        <v>350</v>
      </c>
      <c r="B36" s="415" t="s">
        <v>253</v>
      </c>
      <c r="C36" s="415"/>
      <c r="D36" s="415" t="s">
        <v>254</v>
      </c>
      <c r="E36" s="415" t="s">
        <v>255</v>
      </c>
      <c r="F36" s="415" t="s">
        <v>256</v>
      </c>
      <c r="G36" s="415" t="s">
        <v>257</v>
      </c>
      <c r="H36" s="415" t="s">
        <v>258</v>
      </c>
      <c r="I36" s="415" t="s">
        <v>259</v>
      </c>
      <c r="J36" s="415"/>
      <c r="K36" s="415" t="s">
        <v>34</v>
      </c>
      <c r="L36" s="423"/>
      <c r="M36" s="423"/>
      <c r="N36" s="423"/>
      <c r="O36" s="423"/>
      <c r="P36" s="423"/>
    </row>
    <row r="37" spans="1:17" s="154" customFormat="1" ht="73.5" customHeight="1" thickBot="1">
      <c r="A37" s="422"/>
      <c r="B37" s="230" t="s">
        <v>260</v>
      </c>
      <c r="C37" s="230" t="s">
        <v>261</v>
      </c>
      <c r="D37" s="415"/>
      <c r="E37" s="415"/>
      <c r="F37" s="415"/>
      <c r="G37" s="415"/>
      <c r="H37" s="415"/>
      <c r="I37" s="230" t="s">
        <v>260</v>
      </c>
      <c r="J37" s="230" t="s">
        <v>261</v>
      </c>
      <c r="K37" s="415"/>
      <c r="L37" s="423"/>
      <c r="M37" s="218"/>
      <c r="N37" s="218"/>
      <c r="O37" s="423"/>
      <c r="P37" s="423"/>
    </row>
    <row r="38" spans="1:17" s="154" customFormat="1" ht="42.75" thickBot="1">
      <c r="A38" s="232" t="s">
        <v>323</v>
      </c>
      <c r="B38" s="200">
        <v>6</v>
      </c>
      <c r="C38" s="200">
        <v>19</v>
      </c>
      <c r="D38" s="200">
        <v>9</v>
      </c>
      <c r="E38" s="200">
        <v>18</v>
      </c>
      <c r="F38" s="200">
        <v>8</v>
      </c>
      <c r="G38" s="200">
        <v>2</v>
      </c>
      <c r="H38" s="200">
        <v>9</v>
      </c>
      <c r="I38" s="200" t="s">
        <v>107</v>
      </c>
      <c r="J38" s="200">
        <v>2</v>
      </c>
      <c r="K38" s="203">
        <v>73</v>
      </c>
    </row>
    <row r="39" spans="1:17" s="154" customFormat="1" ht="42.75" thickBot="1">
      <c r="A39" s="232" t="s">
        <v>324</v>
      </c>
      <c r="B39" s="200">
        <v>7</v>
      </c>
      <c r="C39" s="200">
        <v>14</v>
      </c>
      <c r="D39" s="200">
        <v>8</v>
      </c>
      <c r="E39" s="200">
        <v>9</v>
      </c>
      <c r="F39" s="200">
        <v>1</v>
      </c>
      <c r="G39" s="200">
        <v>2</v>
      </c>
      <c r="H39" s="200">
        <v>2</v>
      </c>
      <c r="I39" s="200" t="s">
        <v>107</v>
      </c>
      <c r="J39" s="200">
        <v>2</v>
      </c>
      <c r="K39" s="203">
        <v>45</v>
      </c>
    </row>
    <row r="40" spans="1:17" s="154" customFormat="1" ht="42.75" thickBot="1">
      <c r="A40" s="232" t="s">
        <v>325</v>
      </c>
      <c r="B40" s="200">
        <v>7</v>
      </c>
      <c r="C40" s="200">
        <v>7</v>
      </c>
      <c r="D40" s="200">
        <v>11</v>
      </c>
      <c r="E40" s="200">
        <v>5</v>
      </c>
      <c r="F40" s="200" t="s">
        <v>107</v>
      </c>
      <c r="G40" s="200">
        <v>2</v>
      </c>
      <c r="H40" s="200" t="s">
        <v>107</v>
      </c>
      <c r="I40" s="200">
        <v>1</v>
      </c>
      <c r="J40" s="200" t="s">
        <v>107</v>
      </c>
      <c r="K40" s="203">
        <v>33</v>
      </c>
    </row>
    <row r="41" spans="1:17" s="154" customFormat="1" ht="42.75" thickBot="1">
      <c r="A41" s="232" t="s">
        <v>327</v>
      </c>
      <c r="B41" s="200">
        <v>3</v>
      </c>
      <c r="C41" s="200">
        <v>8</v>
      </c>
      <c r="D41" s="200">
        <v>7</v>
      </c>
      <c r="E41" s="200">
        <v>4</v>
      </c>
      <c r="F41" s="200">
        <v>1</v>
      </c>
      <c r="G41" s="200" t="s">
        <v>107</v>
      </c>
      <c r="H41" s="200" t="s">
        <v>107</v>
      </c>
      <c r="I41" s="200" t="s">
        <v>107</v>
      </c>
      <c r="J41" s="200">
        <v>1</v>
      </c>
      <c r="K41" s="203">
        <v>24</v>
      </c>
    </row>
    <row r="42" spans="1:17" s="154" customFormat="1" ht="42.75" thickBot="1">
      <c r="A42" s="232" t="s">
        <v>331</v>
      </c>
      <c r="B42" s="200">
        <v>3</v>
      </c>
      <c r="C42" s="200">
        <v>5</v>
      </c>
      <c r="D42" s="200">
        <v>4</v>
      </c>
      <c r="E42" s="200">
        <v>4</v>
      </c>
      <c r="F42" s="200">
        <v>4</v>
      </c>
      <c r="G42" s="200">
        <v>1</v>
      </c>
      <c r="H42" s="200" t="s">
        <v>107</v>
      </c>
      <c r="I42" s="200">
        <v>1</v>
      </c>
      <c r="J42" s="200" t="s">
        <v>107</v>
      </c>
      <c r="K42" s="203">
        <v>22</v>
      </c>
    </row>
    <row r="43" spans="1:17" s="154" customFormat="1" ht="42.75" thickBot="1">
      <c r="A43" s="232" t="s">
        <v>330</v>
      </c>
      <c r="B43" s="200">
        <v>4</v>
      </c>
      <c r="C43" s="200">
        <v>6</v>
      </c>
      <c r="D43" s="200">
        <v>2</v>
      </c>
      <c r="E43" s="200">
        <v>5</v>
      </c>
      <c r="F43" s="200">
        <v>1</v>
      </c>
      <c r="G43" s="200" t="s">
        <v>107</v>
      </c>
      <c r="H43" s="200">
        <v>1</v>
      </c>
      <c r="I43" s="200" t="s">
        <v>107</v>
      </c>
      <c r="J43" s="200" t="s">
        <v>107</v>
      </c>
      <c r="K43" s="203">
        <v>19</v>
      </c>
    </row>
    <row r="44" spans="1:17" s="154" customFormat="1" ht="42.75" thickBot="1">
      <c r="A44" s="232" t="s">
        <v>326</v>
      </c>
      <c r="B44" s="200">
        <v>2</v>
      </c>
      <c r="C44" s="200">
        <v>5</v>
      </c>
      <c r="D44" s="200">
        <v>1</v>
      </c>
      <c r="E44" s="200">
        <v>5</v>
      </c>
      <c r="F44" s="200">
        <v>1</v>
      </c>
      <c r="G44" s="200" t="s">
        <v>107</v>
      </c>
      <c r="H44" s="200">
        <v>2</v>
      </c>
      <c r="I44" s="200" t="s">
        <v>107</v>
      </c>
      <c r="J44" s="200">
        <v>2</v>
      </c>
      <c r="K44" s="203">
        <v>18</v>
      </c>
    </row>
    <row r="45" spans="1:17" s="154" customFormat="1" ht="42.75" thickBot="1">
      <c r="A45" s="232" t="s">
        <v>328</v>
      </c>
      <c r="B45" s="200" t="s">
        <v>107</v>
      </c>
      <c r="C45" s="200">
        <v>3</v>
      </c>
      <c r="D45" s="200">
        <v>3</v>
      </c>
      <c r="E45" s="200">
        <v>3</v>
      </c>
      <c r="F45" s="200">
        <v>4</v>
      </c>
      <c r="G45" s="200">
        <v>1</v>
      </c>
      <c r="H45" s="200">
        <v>1</v>
      </c>
      <c r="I45" s="200" t="s">
        <v>107</v>
      </c>
      <c r="J45" s="200" t="s">
        <v>107</v>
      </c>
      <c r="K45" s="203">
        <v>15</v>
      </c>
    </row>
    <row r="46" spans="1:17" s="154" customFormat="1" ht="42.75" thickBot="1">
      <c r="A46" s="232" t="s">
        <v>329</v>
      </c>
      <c r="B46" s="200">
        <v>1</v>
      </c>
      <c r="C46" s="200">
        <v>1</v>
      </c>
      <c r="D46" s="200">
        <v>5</v>
      </c>
      <c r="E46" s="200">
        <v>6</v>
      </c>
      <c r="F46" s="200">
        <v>1</v>
      </c>
      <c r="G46" s="200" t="s">
        <v>107</v>
      </c>
      <c r="H46" s="200" t="s">
        <v>107</v>
      </c>
      <c r="I46" s="200" t="s">
        <v>107</v>
      </c>
      <c r="J46" s="200" t="s">
        <v>107</v>
      </c>
      <c r="K46" s="203">
        <v>14</v>
      </c>
    </row>
    <row r="47" spans="1:17" s="154" customFormat="1" ht="42.75" thickBot="1">
      <c r="A47" s="232" t="s">
        <v>332</v>
      </c>
      <c r="B47" s="200">
        <v>1</v>
      </c>
      <c r="C47" s="200">
        <v>5</v>
      </c>
      <c r="D47" s="200">
        <v>2</v>
      </c>
      <c r="E47" s="200">
        <v>2</v>
      </c>
      <c r="F47" s="200" t="s">
        <v>107</v>
      </c>
      <c r="G47" s="200" t="s">
        <v>107</v>
      </c>
      <c r="H47" s="200">
        <v>1</v>
      </c>
      <c r="I47" s="200" t="s">
        <v>107</v>
      </c>
      <c r="J47" s="200" t="s">
        <v>107</v>
      </c>
      <c r="K47" s="203">
        <v>11</v>
      </c>
    </row>
    <row r="48" spans="1:17" s="154" customFormat="1" ht="42.75" thickBot="1">
      <c r="A48" s="232" t="s">
        <v>335</v>
      </c>
      <c r="B48" s="200">
        <v>1</v>
      </c>
      <c r="C48" s="200">
        <v>2</v>
      </c>
      <c r="D48" s="200" t="s">
        <v>107</v>
      </c>
      <c r="E48" s="200">
        <v>2</v>
      </c>
      <c r="F48" s="200">
        <v>1</v>
      </c>
      <c r="G48" s="200" t="s">
        <v>107</v>
      </c>
      <c r="H48" s="200">
        <v>2</v>
      </c>
      <c r="I48" s="200" t="s">
        <v>107</v>
      </c>
      <c r="J48" s="200" t="s">
        <v>107</v>
      </c>
      <c r="K48" s="203">
        <v>8</v>
      </c>
    </row>
    <row r="49" spans="1:11" s="154" customFormat="1" ht="42.75" thickBot="1">
      <c r="A49" s="232" t="s">
        <v>333</v>
      </c>
      <c r="B49" s="200">
        <v>1</v>
      </c>
      <c r="C49" s="200">
        <v>1</v>
      </c>
      <c r="D49" s="200">
        <v>2</v>
      </c>
      <c r="E49" s="200">
        <v>2</v>
      </c>
      <c r="F49" s="200" t="s">
        <v>107</v>
      </c>
      <c r="G49" s="200" t="s">
        <v>107</v>
      </c>
      <c r="H49" s="200" t="s">
        <v>107</v>
      </c>
      <c r="I49" s="200" t="s">
        <v>107</v>
      </c>
      <c r="J49" s="200">
        <v>1</v>
      </c>
      <c r="K49" s="203">
        <v>7</v>
      </c>
    </row>
    <row r="50" spans="1:11" s="154" customFormat="1" ht="42.75" thickBot="1">
      <c r="A50" s="232" t="s">
        <v>345</v>
      </c>
      <c r="B50" s="200" t="s">
        <v>107</v>
      </c>
      <c r="C50" s="200">
        <v>3</v>
      </c>
      <c r="D50" s="200" t="s">
        <v>107</v>
      </c>
      <c r="E50" s="200">
        <v>3</v>
      </c>
      <c r="F50" s="200" t="s">
        <v>107</v>
      </c>
      <c r="G50" s="200" t="s">
        <v>107</v>
      </c>
      <c r="H50" s="200" t="s">
        <v>107</v>
      </c>
      <c r="I50" s="200" t="s">
        <v>107</v>
      </c>
      <c r="J50" s="200" t="s">
        <v>107</v>
      </c>
      <c r="K50" s="203">
        <v>6</v>
      </c>
    </row>
    <row r="51" spans="1:11" s="154" customFormat="1" ht="42.75" thickBot="1">
      <c r="A51" s="232" t="s">
        <v>341</v>
      </c>
      <c r="B51" s="200">
        <v>1</v>
      </c>
      <c r="C51" s="200">
        <v>1</v>
      </c>
      <c r="D51" s="200">
        <v>2</v>
      </c>
      <c r="E51" s="200">
        <v>1</v>
      </c>
      <c r="F51" s="200" t="s">
        <v>107</v>
      </c>
      <c r="G51" s="200" t="s">
        <v>107</v>
      </c>
      <c r="H51" s="200">
        <v>1</v>
      </c>
      <c r="I51" s="200" t="s">
        <v>107</v>
      </c>
      <c r="J51" s="200" t="s">
        <v>107</v>
      </c>
      <c r="K51" s="203">
        <v>6</v>
      </c>
    </row>
    <row r="52" spans="1:11" s="154" customFormat="1" ht="42.75" thickBot="1">
      <c r="A52" s="232" t="s">
        <v>342</v>
      </c>
      <c r="B52" s="200">
        <v>2</v>
      </c>
      <c r="C52" s="200" t="s">
        <v>107</v>
      </c>
      <c r="D52" s="200">
        <v>1</v>
      </c>
      <c r="E52" s="200">
        <v>2</v>
      </c>
      <c r="F52" s="200" t="s">
        <v>107</v>
      </c>
      <c r="G52" s="200" t="s">
        <v>107</v>
      </c>
      <c r="H52" s="200" t="s">
        <v>107</v>
      </c>
      <c r="I52" s="200" t="s">
        <v>107</v>
      </c>
      <c r="J52" s="200" t="s">
        <v>107</v>
      </c>
      <c r="K52" s="203">
        <v>5</v>
      </c>
    </row>
    <row r="53" spans="1:11" s="154" customFormat="1" ht="42.75" thickBot="1">
      <c r="A53" s="232" t="s">
        <v>349</v>
      </c>
      <c r="B53" s="200">
        <v>1</v>
      </c>
      <c r="C53" s="200" t="s">
        <v>107</v>
      </c>
      <c r="D53" s="200">
        <v>1</v>
      </c>
      <c r="E53" s="200">
        <v>3</v>
      </c>
      <c r="F53" s="200" t="s">
        <v>107</v>
      </c>
      <c r="G53" s="200" t="s">
        <v>107</v>
      </c>
      <c r="H53" s="200" t="s">
        <v>107</v>
      </c>
      <c r="I53" s="200" t="s">
        <v>107</v>
      </c>
      <c r="J53" s="200" t="s">
        <v>107</v>
      </c>
      <c r="K53" s="203">
        <v>5</v>
      </c>
    </row>
    <row r="54" spans="1:11" s="154" customFormat="1" ht="42.75" thickBot="1">
      <c r="A54" s="232" t="s">
        <v>347</v>
      </c>
      <c r="B54" s="200" t="s">
        <v>107</v>
      </c>
      <c r="C54" s="200" t="s">
        <v>107</v>
      </c>
      <c r="D54" s="200" t="s">
        <v>107</v>
      </c>
      <c r="E54" s="200">
        <v>2</v>
      </c>
      <c r="F54" s="200">
        <v>2</v>
      </c>
      <c r="G54" s="200" t="s">
        <v>107</v>
      </c>
      <c r="H54" s="200" t="s">
        <v>107</v>
      </c>
      <c r="I54" s="200" t="s">
        <v>107</v>
      </c>
      <c r="J54" s="200" t="s">
        <v>107</v>
      </c>
      <c r="K54" s="203">
        <v>4</v>
      </c>
    </row>
    <row r="55" spans="1:11" s="154" customFormat="1" ht="42.75" thickBot="1">
      <c r="A55" s="232" t="s">
        <v>337</v>
      </c>
      <c r="B55" s="200" t="s">
        <v>107</v>
      </c>
      <c r="C55" s="200">
        <v>1</v>
      </c>
      <c r="D55" s="200">
        <v>2</v>
      </c>
      <c r="E55" s="200" t="s">
        <v>107</v>
      </c>
      <c r="F55" s="200">
        <v>1</v>
      </c>
      <c r="G55" s="200" t="s">
        <v>107</v>
      </c>
      <c r="H55" s="200" t="s">
        <v>107</v>
      </c>
      <c r="I55" s="200" t="s">
        <v>107</v>
      </c>
      <c r="J55" s="200" t="s">
        <v>107</v>
      </c>
      <c r="K55" s="203">
        <v>4</v>
      </c>
    </row>
    <row r="56" spans="1:11" s="154" customFormat="1" ht="42.75" thickBot="1">
      <c r="A56" s="232" t="s">
        <v>344</v>
      </c>
      <c r="B56" s="200">
        <v>1</v>
      </c>
      <c r="C56" s="200" t="s">
        <v>107</v>
      </c>
      <c r="D56" s="200">
        <v>2</v>
      </c>
      <c r="E56" s="200" t="s">
        <v>107</v>
      </c>
      <c r="F56" s="200" t="s">
        <v>107</v>
      </c>
      <c r="G56" s="200" t="s">
        <v>107</v>
      </c>
      <c r="H56" s="200">
        <v>1</v>
      </c>
      <c r="I56" s="200" t="s">
        <v>107</v>
      </c>
      <c r="J56" s="200" t="s">
        <v>107</v>
      </c>
      <c r="K56" s="203">
        <v>4</v>
      </c>
    </row>
    <row r="57" spans="1:11" s="154" customFormat="1" ht="42.75" thickBot="1">
      <c r="A57" s="232" t="s">
        <v>348</v>
      </c>
      <c r="B57" s="200">
        <v>1</v>
      </c>
      <c r="C57" s="200">
        <v>1</v>
      </c>
      <c r="D57" s="200" t="s">
        <v>107</v>
      </c>
      <c r="E57" s="200" t="s">
        <v>107</v>
      </c>
      <c r="F57" s="200">
        <v>1</v>
      </c>
      <c r="G57" s="200" t="s">
        <v>107</v>
      </c>
      <c r="H57" s="200">
        <v>1</v>
      </c>
      <c r="I57" s="200" t="s">
        <v>107</v>
      </c>
      <c r="J57" s="200" t="s">
        <v>107</v>
      </c>
      <c r="K57" s="203">
        <v>4</v>
      </c>
    </row>
    <row r="58" spans="1:11" s="154" customFormat="1" ht="42.75" thickBot="1">
      <c r="A58" s="232" t="s">
        <v>340</v>
      </c>
      <c r="B58" s="200">
        <v>1</v>
      </c>
      <c r="C58" s="200">
        <v>1</v>
      </c>
      <c r="D58" s="200">
        <v>2</v>
      </c>
      <c r="E58" s="200" t="s">
        <v>107</v>
      </c>
      <c r="F58" s="200" t="s">
        <v>107</v>
      </c>
      <c r="G58" s="200" t="s">
        <v>107</v>
      </c>
      <c r="H58" s="200" t="s">
        <v>107</v>
      </c>
      <c r="I58" s="200" t="s">
        <v>107</v>
      </c>
      <c r="J58" s="200" t="s">
        <v>107</v>
      </c>
      <c r="K58" s="203">
        <v>4</v>
      </c>
    </row>
    <row r="59" spans="1:11" s="154" customFormat="1" ht="42.75" thickBot="1">
      <c r="A59" s="232" t="s">
        <v>343</v>
      </c>
      <c r="B59" s="200">
        <v>1</v>
      </c>
      <c r="C59" s="200">
        <v>1</v>
      </c>
      <c r="D59" s="200">
        <v>1</v>
      </c>
      <c r="E59" s="200" t="s">
        <v>107</v>
      </c>
      <c r="F59" s="200" t="s">
        <v>107</v>
      </c>
      <c r="G59" s="200" t="s">
        <v>107</v>
      </c>
      <c r="H59" s="200" t="s">
        <v>107</v>
      </c>
      <c r="I59" s="200" t="s">
        <v>107</v>
      </c>
      <c r="J59" s="200" t="s">
        <v>107</v>
      </c>
      <c r="K59" s="203">
        <v>3</v>
      </c>
    </row>
    <row r="60" spans="1:11" s="154" customFormat="1" ht="42.75" thickBot="1">
      <c r="A60" s="232" t="s">
        <v>336</v>
      </c>
      <c r="B60" s="200" t="s">
        <v>107</v>
      </c>
      <c r="C60" s="200">
        <v>2</v>
      </c>
      <c r="D60" s="200" t="s">
        <v>107</v>
      </c>
      <c r="E60" s="200" t="s">
        <v>107</v>
      </c>
      <c r="F60" s="200" t="s">
        <v>107</v>
      </c>
      <c r="G60" s="200" t="s">
        <v>107</v>
      </c>
      <c r="H60" s="200" t="s">
        <v>107</v>
      </c>
      <c r="I60" s="200" t="s">
        <v>107</v>
      </c>
      <c r="J60" s="200" t="s">
        <v>107</v>
      </c>
      <c r="K60" s="203">
        <v>2</v>
      </c>
    </row>
    <row r="61" spans="1:11" s="154" customFormat="1" ht="42.75" thickBot="1">
      <c r="A61" s="232" t="s">
        <v>346</v>
      </c>
      <c r="B61" s="200" t="s">
        <v>107</v>
      </c>
      <c r="C61" s="200" t="s">
        <v>107</v>
      </c>
      <c r="D61" s="200">
        <v>1</v>
      </c>
      <c r="E61" s="200" t="s">
        <v>107</v>
      </c>
      <c r="F61" s="200" t="s">
        <v>107</v>
      </c>
      <c r="G61" s="200" t="s">
        <v>107</v>
      </c>
      <c r="H61" s="200" t="s">
        <v>107</v>
      </c>
      <c r="I61" s="200" t="s">
        <v>107</v>
      </c>
      <c r="J61" s="200" t="s">
        <v>107</v>
      </c>
      <c r="K61" s="203">
        <v>1</v>
      </c>
    </row>
    <row r="62" spans="1:11" s="154" customFormat="1" ht="42.75" thickBot="1">
      <c r="A62" s="232" t="s">
        <v>339</v>
      </c>
      <c r="B62" s="200" t="s">
        <v>107</v>
      </c>
      <c r="C62" s="200">
        <v>1</v>
      </c>
      <c r="D62" s="200" t="s">
        <v>107</v>
      </c>
      <c r="E62" s="200" t="s">
        <v>107</v>
      </c>
      <c r="F62" s="200" t="s">
        <v>107</v>
      </c>
      <c r="G62" s="200" t="s">
        <v>107</v>
      </c>
      <c r="H62" s="200" t="s">
        <v>107</v>
      </c>
      <c r="I62" s="200" t="s">
        <v>107</v>
      </c>
      <c r="J62" s="200" t="s">
        <v>107</v>
      </c>
      <c r="K62" s="203">
        <v>1</v>
      </c>
    </row>
    <row r="63" spans="1:11" s="154" customFormat="1" ht="42.75" thickBot="1">
      <c r="A63" s="232" t="s">
        <v>338</v>
      </c>
      <c r="B63" s="200" t="s">
        <v>107</v>
      </c>
      <c r="C63" s="200" t="s">
        <v>107</v>
      </c>
      <c r="D63" s="200" t="s">
        <v>107</v>
      </c>
      <c r="E63" s="200" t="s">
        <v>107</v>
      </c>
      <c r="F63" s="200" t="s">
        <v>107</v>
      </c>
      <c r="G63" s="200" t="s">
        <v>107</v>
      </c>
      <c r="H63" s="200">
        <v>1</v>
      </c>
      <c r="I63" s="200" t="s">
        <v>107</v>
      </c>
      <c r="J63" s="200" t="s">
        <v>107</v>
      </c>
      <c r="K63" s="203">
        <v>1</v>
      </c>
    </row>
    <row r="64" spans="1:11" s="154" customFormat="1" ht="42.75" thickBot="1">
      <c r="A64" s="232" t="s">
        <v>34</v>
      </c>
      <c r="B64" s="204">
        <v>44</v>
      </c>
      <c r="C64" s="204">
        <v>87</v>
      </c>
      <c r="D64" s="204">
        <v>66</v>
      </c>
      <c r="E64" s="204">
        <v>76</v>
      </c>
      <c r="F64" s="204">
        <v>26</v>
      </c>
      <c r="G64" s="204">
        <v>8</v>
      </c>
      <c r="H64" s="204">
        <v>22</v>
      </c>
      <c r="I64" s="204">
        <v>2</v>
      </c>
      <c r="J64" s="204">
        <v>8</v>
      </c>
      <c r="K64" s="203">
        <v>339</v>
      </c>
    </row>
    <row r="65" spans="1:11" s="154" customFormat="1" ht="21">
      <c r="A65" s="218"/>
      <c r="B65" s="219"/>
      <c r="C65" s="219"/>
      <c r="D65" s="219"/>
      <c r="E65" s="219"/>
      <c r="F65" s="219"/>
      <c r="G65" s="219"/>
      <c r="H65" s="219"/>
      <c r="I65" s="219"/>
      <c r="J65" s="219"/>
      <c r="K65" s="219"/>
    </row>
    <row r="66" spans="1:11" s="9" customFormat="1" ht="45" customHeight="1">
      <c r="A66" s="399" t="s">
        <v>54</v>
      </c>
      <c r="B66" s="399"/>
      <c r="C66" s="399"/>
    </row>
  </sheetData>
  <mergeCells count="25">
    <mergeCell ref="O36:O37"/>
    <mergeCell ref="P36:P37"/>
    <mergeCell ref="A3:A4"/>
    <mergeCell ref="B3:C3"/>
    <mergeCell ref="D3:D4"/>
    <mergeCell ref="E3:E4"/>
    <mergeCell ref="A34:M34"/>
    <mergeCell ref="F3:F4"/>
    <mergeCell ref="G3:G4"/>
    <mergeCell ref="H3:H4"/>
    <mergeCell ref="I3:J3"/>
    <mergeCell ref="K3:K4"/>
    <mergeCell ref="A1:M1"/>
    <mergeCell ref="A36:A37"/>
    <mergeCell ref="B36:C36"/>
    <mergeCell ref="D36:D37"/>
    <mergeCell ref="E36:E37"/>
    <mergeCell ref="F36:F37"/>
    <mergeCell ref="L36:L37"/>
    <mergeCell ref="M36:N36"/>
    <mergeCell ref="A66:C66"/>
    <mergeCell ref="G36:G37"/>
    <mergeCell ref="H36:H37"/>
    <mergeCell ref="I36:J36"/>
    <mergeCell ref="K36:K3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5"/>
  <sheetViews>
    <sheetView rightToLeft="1" workbookViewId="0">
      <selection activeCell="A36" sqref="A36:XFD36"/>
    </sheetView>
  </sheetViews>
  <sheetFormatPr defaultRowHeight="15"/>
  <cols>
    <col min="1" max="1" width="33.140625" customWidth="1"/>
    <col min="2" max="2" width="22.7109375" customWidth="1"/>
    <col min="3" max="3" width="20" customWidth="1"/>
    <col min="4" max="5" width="16.7109375" customWidth="1"/>
    <col min="6" max="6" width="25.28515625" customWidth="1"/>
    <col min="7" max="7" width="25.42578125" customWidth="1"/>
    <col min="8" max="8" width="20.7109375" customWidth="1"/>
    <col min="9" max="9" width="19.5703125" customWidth="1"/>
    <col min="10" max="10" width="20" customWidth="1"/>
  </cols>
  <sheetData>
    <row r="1" spans="1:17" s="156" customFormat="1" ht="33" customHeight="1">
      <c r="A1" s="389" t="s">
        <v>352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Q1" s="157"/>
    </row>
    <row r="2" spans="1:17" s="156" customFormat="1" ht="33" customHeight="1" thickBot="1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Q2" s="157"/>
    </row>
    <row r="3" spans="1:17" s="154" customFormat="1" ht="75.75" thickBot="1">
      <c r="A3" s="246" t="s">
        <v>413</v>
      </c>
      <c r="B3" s="247" t="s">
        <v>264</v>
      </c>
      <c r="C3" s="247" t="s">
        <v>265</v>
      </c>
      <c r="D3" s="247" t="s">
        <v>266</v>
      </c>
      <c r="E3" s="247" t="s">
        <v>267</v>
      </c>
      <c r="F3" s="247" t="s">
        <v>268</v>
      </c>
      <c r="G3" s="253" t="s">
        <v>269</v>
      </c>
      <c r="H3" s="247" t="s">
        <v>270</v>
      </c>
      <c r="I3" s="219"/>
      <c r="J3" s="219"/>
      <c r="K3" s="219"/>
    </row>
    <row r="4" spans="1:17" s="154" customFormat="1" ht="29.25" thickBot="1">
      <c r="A4" s="7" t="s">
        <v>20</v>
      </c>
      <c r="B4" s="248">
        <v>38</v>
      </c>
      <c r="C4" s="248">
        <v>4</v>
      </c>
      <c r="D4" s="248">
        <v>5</v>
      </c>
      <c r="E4" s="248">
        <v>3</v>
      </c>
      <c r="F4" s="248">
        <v>7</v>
      </c>
      <c r="G4" s="248">
        <v>2</v>
      </c>
      <c r="H4" s="249">
        <v>59</v>
      </c>
      <c r="I4" s="219"/>
      <c r="J4" s="219"/>
      <c r="K4" s="219"/>
    </row>
    <row r="5" spans="1:17" s="154" customFormat="1" ht="29.25" thickBot="1">
      <c r="A5" s="7" t="s">
        <v>21</v>
      </c>
      <c r="B5" s="248">
        <v>30</v>
      </c>
      <c r="C5" s="248">
        <v>7</v>
      </c>
      <c r="D5" s="248">
        <v>3</v>
      </c>
      <c r="E5" s="248" t="s">
        <v>107</v>
      </c>
      <c r="F5" s="248">
        <v>3</v>
      </c>
      <c r="G5" s="248">
        <v>5</v>
      </c>
      <c r="H5" s="249">
        <v>48</v>
      </c>
      <c r="I5" s="219"/>
      <c r="J5" s="219"/>
      <c r="K5" s="219"/>
    </row>
    <row r="6" spans="1:17" s="154" customFormat="1" ht="29.25" thickBot="1">
      <c r="A6" s="7" t="s">
        <v>22</v>
      </c>
      <c r="B6" s="248">
        <v>14</v>
      </c>
      <c r="C6" s="248">
        <v>2</v>
      </c>
      <c r="D6" s="248">
        <v>3</v>
      </c>
      <c r="E6" s="248">
        <v>3</v>
      </c>
      <c r="F6" s="248" t="s">
        <v>107</v>
      </c>
      <c r="G6" s="248">
        <v>1</v>
      </c>
      <c r="H6" s="249">
        <v>23</v>
      </c>
      <c r="I6" s="219"/>
      <c r="J6" s="219"/>
      <c r="K6" s="219"/>
    </row>
    <row r="7" spans="1:17" s="154" customFormat="1" ht="29.25" thickBot="1">
      <c r="A7" s="7" t="s">
        <v>23</v>
      </c>
      <c r="B7" s="248">
        <v>54</v>
      </c>
      <c r="C7" s="248">
        <v>21</v>
      </c>
      <c r="D7" s="248">
        <v>5</v>
      </c>
      <c r="E7" s="248">
        <v>9</v>
      </c>
      <c r="F7" s="248">
        <v>6</v>
      </c>
      <c r="G7" s="248">
        <v>2</v>
      </c>
      <c r="H7" s="249">
        <v>97</v>
      </c>
      <c r="I7" s="219"/>
      <c r="J7" s="219"/>
      <c r="K7" s="219"/>
    </row>
    <row r="8" spans="1:17" s="154" customFormat="1" ht="29.25" thickBot="1">
      <c r="A8" s="7" t="s">
        <v>24</v>
      </c>
      <c r="B8" s="248">
        <v>35</v>
      </c>
      <c r="C8" s="248">
        <v>5</v>
      </c>
      <c r="D8" s="248">
        <v>6</v>
      </c>
      <c r="E8" s="248">
        <v>1</v>
      </c>
      <c r="F8" s="248">
        <v>2</v>
      </c>
      <c r="G8" s="248">
        <v>1</v>
      </c>
      <c r="H8" s="249">
        <v>50</v>
      </c>
      <c r="I8" s="219"/>
      <c r="J8" s="219"/>
      <c r="K8" s="219"/>
    </row>
    <row r="9" spans="1:17" s="154" customFormat="1" ht="29.25" thickBot="1">
      <c r="A9" s="7" t="s">
        <v>25</v>
      </c>
      <c r="B9" s="248">
        <v>27</v>
      </c>
      <c r="C9" s="248">
        <v>22</v>
      </c>
      <c r="D9" s="248">
        <v>10</v>
      </c>
      <c r="E9" s="248">
        <v>15</v>
      </c>
      <c r="F9" s="248">
        <v>6</v>
      </c>
      <c r="G9" s="248" t="s">
        <v>107</v>
      </c>
      <c r="H9" s="249">
        <v>80</v>
      </c>
      <c r="I9" s="219"/>
      <c r="J9" s="219"/>
      <c r="K9" s="219"/>
    </row>
    <row r="10" spans="1:17" s="154" customFormat="1" ht="29.25" thickBot="1">
      <c r="A10" s="7" t="s">
        <v>26</v>
      </c>
      <c r="B10" s="250">
        <v>42</v>
      </c>
      <c r="C10" s="250">
        <v>13</v>
      </c>
      <c r="D10" s="250">
        <v>5</v>
      </c>
      <c r="E10" s="250">
        <v>1</v>
      </c>
      <c r="F10" s="250" t="s">
        <v>107</v>
      </c>
      <c r="G10" s="250" t="s">
        <v>107</v>
      </c>
      <c r="H10" s="251">
        <v>61</v>
      </c>
      <c r="I10" s="219"/>
      <c r="J10" s="219"/>
    </row>
    <row r="11" spans="1:17" s="154" customFormat="1" ht="29.25" thickBot="1">
      <c r="A11" s="7" t="s">
        <v>27</v>
      </c>
      <c r="B11" s="250">
        <v>35</v>
      </c>
      <c r="C11" s="250">
        <v>14</v>
      </c>
      <c r="D11" s="250">
        <v>12</v>
      </c>
      <c r="E11" s="250">
        <v>5</v>
      </c>
      <c r="F11" s="250">
        <v>6</v>
      </c>
      <c r="G11" s="250">
        <v>2</v>
      </c>
      <c r="H11" s="251">
        <v>74</v>
      </c>
      <c r="I11" s="219"/>
      <c r="J11" s="219"/>
    </row>
    <row r="12" spans="1:17" s="154" customFormat="1" ht="29.25" thickBot="1">
      <c r="A12" s="7" t="s">
        <v>28</v>
      </c>
      <c r="B12" s="250">
        <v>16</v>
      </c>
      <c r="C12" s="250">
        <v>10</v>
      </c>
      <c r="D12" s="250">
        <v>1</v>
      </c>
      <c r="E12" s="250">
        <v>3</v>
      </c>
      <c r="F12" s="250">
        <v>2</v>
      </c>
      <c r="G12" s="250" t="s">
        <v>107</v>
      </c>
      <c r="H12" s="251">
        <v>32</v>
      </c>
      <c r="I12" s="219"/>
      <c r="J12" s="219"/>
    </row>
    <row r="13" spans="1:17" s="154" customFormat="1" ht="29.25" thickBot="1">
      <c r="A13" s="7" t="s">
        <v>29</v>
      </c>
      <c r="B13" s="250">
        <v>41</v>
      </c>
      <c r="C13" s="250">
        <v>6</v>
      </c>
      <c r="D13" s="250">
        <v>3</v>
      </c>
      <c r="E13" s="250">
        <v>7</v>
      </c>
      <c r="F13" s="250">
        <v>5</v>
      </c>
      <c r="G13" s="250">
        <v>1</v>
      </c>
      <c r="H13" s="251">
        <v>63</v>
      </c>
      <c r="I13" s="219"/>
      <c r="J13" s="219"/>
    </row>
    <row r="14" spans="1:17" s="154" customFormat="1" ht="29.25" thickBot="1">
      <c r="A14" s="7" t="s">
        <v>30</v>
      </c>
      <c r="B14" s="250">
        <v>23</v>
      </c>
      <c r="C14" s="250">
        <v>8</v>
      </c>
      <c r="D14" s="250">
        <v>5</v>
      </c>
      <c r="E14" s="250">
        <v>2</v>
      </c>
      <c r="F14" s="250">
        <v>7</v>
      </c>
      <c r="G14" s="250">
        <v>1</v>
      </c>
      <c r="H14" s="251">
        <v>46</v>
      </c>
      <c r="I14" s="219"/>
      <c r="J14" s="219"/>
    </row>
    <row r="15" spans="1:17" s="154" customFormat="1" ht="29.25" thickBot="1">
      <c r="A15" s="7" t="s">
        <v>31</v>
      </c>
      <c r="B15" s="250">
        <v>40</v>
      </c>
      <c r="C15" s="250">
        <v>14</v>
      </c>
      <c r="D15" s="250">
        <v>5</v>
      </c>
      <c r="E15" s="250">
        <v>2</v>
      </c>
      <c r="F15" s="250">
        <v>2</v>
      </c>
      <c r="G15" s="250" t="s">
        <v>107</v>
      </c>
      <c r="H15" s="251">
        <v>63</v>
      </c>
      <c r="I15" s="219"/>
      <c r="J15" s="219"/>
    </row>
    <row r="16" spans="1:17" s="154" customFormat="1" ht="32.25" thickBot="1">
      <c r="A16" s="8" t="s">
        <v>34</v>
      </c>
      <c r="B16" s="252">
        <v>197</v>
      </c>
      <c r="C16" s="252">
        <v>65</v>
      </c>
      <c r="D16" s="252">
        <v>31</v>
      </c>
      <c r="E16" s="252">
        <v>20</v>
      </c>
      <c r="F16" s="252">
        <v>22</v>
      </c>
      <c r="G16" s="252">
        <v>4</v>
      </c>
      <c r="H16" s="251">
        <v>339</v>
      </c>
      <c r="I16" s="219"/>
      <c r="J16" s="219"/>
    </row>
    <row r="17" spans="1:17" s="154" customFormat="1" ht="21">
      <c r="A17" s="254"/>
      <c r="B17" s="255"/>
      <c r="C17" s="255"/>
      <c r="D17" s="255"/>
      <c r="E17" s="255"/>
      <c r="F17" s="255"/>
      <c r="G17" s="255"/>
      <c r="H17" s="255"/>
      <c r="I17" s="219"/>
      <c r="J17" s="219"/>
    </row>
    <row r="18" spans="1:17" s="156" customFormat="1" ht="33" customHeight="1">
      <c r="A18" s="389" t="s">
        <v>416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Q18" s="157"/>
    </row>
    <row r="19" spans="1:17" s="156" customFormat="1" ht="33" customHeight="1" thickBot="1">
      <c r="A19" s="241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Q19" s="157"/>
    </row>
    <row r="20" spans="1:17" s="154" customFormat="1" ht="49.5" customHeight="1">
      <c r="A20" s="429" t="s">
        <v>414</v>
      </c>
      <c r="B20" s="415" t="s">
        <v>253</v>
      </c>
      <c r="C20" s="415"/>
      <c r="D20" s="415" t="s">
        <v>254</v>
      </c>
      <c r="E20" s="415" t="s">
        <v>255</v>
      </c>
      <c r="F20" s="415" t="s">
        <v>256</v>
      </c>
      <c r="G20" s="415" t="s">
        <v>257</v>
      </c>
      <c r="H20" s="415" t="s">
        <v>258</v>
      </c>
      <c r="I20" s="415" t="s">
        <v>259</v>
      </c>
      <c r="J20" s="415"/>
      <c r="K20" s="415" t="s">
        <v>34</v>
      </c>
    </row>
    <row r="21" spans="1:17" s="154" customFormat="1" ht="75.75" customHeight="1" thickBot="1">
      <c r="A21" s="430"/>
      <c r="B21" s="239" t="s">
        <v>260</v>
      </c>
      <c r="C21" s="239" t="s">
        <v>261</v>
      </c>
      <c r="D21" s="415"/>
      <c r="E21" s="415"/>
      <c r="F21" s="415"/>
      <c r="G21" s="415"/>
      <c r="H21" s="415"/>
      <c r="I21" s="239" t="s">
        <v>260</v>
      </c>
      <c r="J21" s="239" t="s">
        <v>261</v>
      </c>
      <c r="K21" s="415"/>
    </row>
    <row r="22" spans="1:17" s="154" customFormat="1" ht="47.25" thickBot="1">
      <c r="A22" s="212" t="s">
        <v>353</v>
      </c>
      <c r="B22" s="248" t="s">
        <v>107</v>
      </c>
      <c r="C22" s="248">
        <v>1</v>
      </c>
      <c r="D22" s="248">
        <v>4</v>
      </c>
      <c r="E22" s="248">
        <v>3</v>
      </c>
      <c r="F22" s="248" t="s">
        <v>107</v>
      </c>
      <c r="G22" s="248" t="s">
        <v>107</v>
      </c>
      <c r="H22" s="248">
        <v>1</v>
      </c>
      <c r="I22" s="248" t="s">
        <v>107</v>
      </c>
      <c r="J22" s="248" t="s">
        <v>107</v>
      </c>
      <c r="K22" s="256">
        <v>9</v>
      </c>
    </row>
    <row r="23" spans="1:17" s="154" customFormat="1" ht="47.25" thickBot="1">
      <c r="A23" s="212" t="s">
        <v>354</v>
      </c>
      <c r="B23" s="248">
        <v>3</v>
      </c>
      <c r="C23" s="248">
        <v>1</v>
      </c>
      <c r="D23" s="248">
        <v>1</v>
      </c>
      <c r="E23" s="248" t="s">
        <v>107</v>
      </c>
      <c r="F23" s="248" t="s">
        <v>107</v>
      </c>
      <c r="G23" s="248">
        <v>1</v>
      </c>
      <c r="H23" s="248">
        <v>1</v>
      </c>
      <c r="I23" s="248" t="s">
        <v>107</v>
      </c>
      <c r="J23" s="248" t="s">
        <v>107</v>
      </c>
      <c r="K23" s="249">
        <v>7</v>
      </c>
    </row>
    <row r="24" spans="1:17" s="154" customFormat="1" ht="47.25" thickBot="1">
      <c r="A24" s="212" t="s">
        <v>355</v>
      </c>
      <c r="B24" s="248" t="s">
        <v>107</v>
      </c>
      <c r="C24" s="248">
        <v>3</v>
      </c>
      <c r="D24" s="248">
        <v>2</v>
      </c>
      <c r="E24" s="248">
        <v>1</v>
      </c>
      <c r="F24" s="248" t="s">
        <v>107</v>
      </c>
      <c r="G24" s="248" t="s">
        <v>107</v>
      </c>
      <c r="H24" s="248" t="s">
        <v>107</v>
      </c>
      <c r="I24" s="248" t="s">
        <v>107</v>
      </c>
      <c r="J24" s="248" t="s">
        <v>107</v>
      </c>
      <c r="K24" s="249">
        <v>6</v>
      </c>
    </row>
    <row r="25" spans="1:17" s="154" customFormat="1" ht="47.25" thickBot="1">
      <c r="A25" s="212" t="s">
        <v>356</v>
      </c>
      <c r="B25" s="248" t="s">
        <v>107</v>
      </c>
      <c r="C25" s="248" t="s">
        <v>107</v>
      </c>
      <c r="D25" s="248">
        <v>2</v>
      </c>
      <c r="E25" s="248" t="s">
        <v>107</v>
      </c>
      <c r="F25" s="248" t="s">
        <v>107</v>
      </c>
      <c r="G25" s="248">
        <v>2</v>
      </c>
      <c r="H25" s="248" t="s">
        <v>107</v>
      </c>
      <c r="I25" s="248" t="s">
        <v>107</v>
      </c>
      <c r="J25" s="248">
        <v>1</v>
      </c>
      <c r="K25" s="249">
        <v>5</v>
      </c>
    </row>
    <row r="26" spans="1:17" s="154" customFormat="1" ht="47.25" thickBot="1">
      <c r="A26" s="212" t="s">
        <v>357</v>
      </c>
      <c r="B26" s="248" t="s">
        <v>107</v>
      </c>
      <c r="C26" s="248" t="s">
        <v>107</v>
      </c>
      <c r="D26" s="248" t="s">
        <v>107</v>
      </c>
      <c r="E26" s="248">
        <v>3</v>
      </c>
      <c r="F26" s="248" t="s">
        <v>107</v>
      </c>
      <c r="G26" s="248">
        <v>1</v>
      </c>
      <c r="H26" s="248">
        <v>1</v>
      </c>
      <c r="I26" s="248" t="s">
        <v>107</v>
      </c>
      <c r="J26" s="248" t="s">
        <v>107</v>
      </c>
      <c r="K26" s="249">
        <v>5</v>
      </c>
    </row>
    <row r="27" spans="1:17" s="154" customFormat="1" ht="47.25" thickBot="1">
      <c r="A27" s="212" t="s">
        <v>358</v>
      </c>
      <c r="B27" s="248" t="s">
        <v>107</v>
      </c>
      <c r="C27" s="248">
        <v>1</v>
      </c>
      <c r="D27" s="248">
        <v>2</v>
      </c>
      <c r="E27" s="248" t="s">
        <v>107</v>
      </c>
      <c r="F27" s="248" t="s">
        <v>107</v>
      </c>
      <c r="G27" s="248">
        <v>1</v>
      </c>
      <c r="H27" s="248">
        <v>1</v>
      </c>
      <c r="I27" s="248" t="s">
        <v>107</v>
      </c>
      <c r="J27" s="248" t="s">
        <v>107</v>
      </c>
      <c r="K27" s="249">
        <v>5</v>
      </c>
    </row>
    <row r="28" spans="1:17" s="154" customFormat="1" ht="49.5" customHeight="1" thickBot="1">
      <c r="A28" s="212" t="s">
        <v>359</v>
      </c>
      <c r="B28" s="248" t="s">
        <v>107</v>
      </c>
      <c r="C28" s="248">
        <v>2</v>
      </c>
      <c r="D28" s="248">
        <v>2</v>
      </c>
      <c r="E28" s="248">
        <v>1</v>
      </c>
      <c r="F28" s="248" t="s">
        <v>107</v>
      </c>
      <c r="G28" s="248" t="s">
        <v>107</v>
      </c>
      <c r="H28" s="248" t="s">
        <v>107</v>
      </c>
      <c r="I28" s="248" t="s">
        <v>107</v>
      </c>
      <c r="J28" s="248" t="s">
        <v>107</v>
      </c>
      <c r="K28" s="249">
        <v>5</v>
      </c>
    </row>
    <row r="29" spans="1:17" s="154" customFormat="1" ht="47.25" thickBot="1">
      <c r="A29" s="212" t="s">
        <v>360</v>
      </c>
      <c r="B29" s="248" t="s">
        <v>107</v>
      </c>
      <c r="C29" s="248">
        <v>2</v>
      </c>
      <c r="D29" s="248" t="s">
        <v>107</v>
      </c>
      <c r="E29" s="248">
        <v>1</v>
      </c>
      <c r="F29" s="248" t="s">
        <v>107</v>
      </c>
      <c r="G29" s="248">
        <v>1</v>
      </c>
      <c r="H29" s="248" t="s">
        <v>107</v>
      </c>
      <c r="I29" s="248">
        <v>1</v>
      </c>
      <c r="J29" s="248" t="s">
        <v>107</v>
      </c>
      <c r="K29" s="249">
        <v>5</v>
      </c>
    </row>
    <row r="30" spans="1:17" s="154" customFormat="1" ht="47.25" thickBot="1">
      <c r="A30" s="212" t="s">
        <v>361</v>
      </c>
      <c r="B30" s="248">
        <v>1</v>
      </c>
      <c r="C30" s="248">
        <v>1</v>
      </c>
      <c r="D30" s="248">
        <v>1</v>
      </c>
      <c r="E30" s="248">
        <v>1</v>
      </c>
      <c r="F30" s="248">
        <v>1</v>
      </c>
      <c r="G30" s="248" t="s">
        <v>107</v>
      </c>
      <c r="H30" s="248" t="s">
        <v>107</v>
      </c>
      <c r="I30" s="248" t="s">
        <v>107</v>
      </c>
      <c r="J30" s="248" t="s">
        <v>107</v>
      </c>
      <c r="K30" s="249">
        <v>5</v>
      </c>
    </row>
    <row r="31" spans="1:17" s="154" customFormat="1" ht="47.25" thickBot="1">
      <c r="A31" s="212" t="s">
        <v>362</v>
      </c>
      <c r="B31" s="248">
        <v>1</v>
      </c>
      <c r="C31" s="248">
        <v>1</v>
      </c>
      <c r="D31" s="248">
        <v>1</v>
      </c>
      <c r="E31" s="248" t="s">
        <v>107</v>
      </c>
      <c r="F31" s="248">
        <v>1</v>
      </c>
      <c r="G31" s="248" t="s">
        <v>107</v>
      </c>
      <c r="H31" s="248">
        <v>1</v>
      </c>
      <c r="I31" s="248" t="s">
        <v>107</v>
      </c>
      <c r="J31" s="248" t="s">
        <v>107</v>
      </c>
      <c r="K31" s="249">
        <v>5</v>
      </c>
    </row>
    <row r="32" spans="1:17" s="154" customFormat="1" ht="47.25" thickBot="1">
      <c r="A32" s="212" t="s">
        <v>363</v>
      </c>
      <c r="B32" s="248">
        <v>2</v>
      </c>
      <c r="C32" s="248" t="s">
        <v>107</v>
      </c>
      <c r="D32" s="248">
        <v>2</v>
      </c>
      <c r="E32" s="248">
        <v>1</v>
      </c>
      <c r="F32" s="248" t="s">
        <v>107</v>
      </c>
      <c r="G32" s="248" t="s">
        <v>107</v>
      </c>
      <c r="H32" s="248" t="s">
        <v>107</v>
      </c>
      <c r="I32" s="248" t="s">
        <v>107</v>
      </c>
      <c r="J32" s="248" t="s">
        <v>107</v>
      </c>
      <c r="K32" s="249">
        <v>5</v>
      </c>
    </row>
    <row r="33" spans="1:17" s="154" customFormat="1" ht="46.5">
      <c r="A33" s="257" t="s">
        <v>364</v>
      </c>
      <c r="B33" s="258">
        <v>1</v>
      </c>
      <c r="C33" s="258">
        <v>1</v>
      </c>
      <c r="D33" s="258">
        <v>2</v>
      </c>
      <c r="E33" s="258" t="s">
        <v>107</v>
      </c>
      <c r="F33" s="258">
        <v>1</v>
      </c>
      <c r="G33" s="258" t="s">
        <v>107</v>
      </c>
      <c r="H33" s="258" t="s">
        <v>107</v>
      </c>
      <c r="I33" s="258" t="s">
        <v>107</v>
      </c>
      <c r="J33" s="258" t="s">
        <v>107</v>
      </c>
      <c r="K33" s="259">
        <v>5</v>
      </c>
    </row>
    <row r="34" spans="1:17" s="154" customFormat="1" ht="40.5" customHeight="1">
      <c r="A34" s="239" t="s">
        <v>34</v>
      </c>
      <c r="B34" s="238">
        <f t="shared" ref="B34:K34" si="0">SUM(B22:B33)</f>
        <v>8</v>
      </c>
      <c r="C34" s="238">
        <f t="shared" si="0"/>
        <v>13</v>
      </c>
      <c r="D34" s="238">
        <f t="shared" si="0"/>
        <v>19</v>
      </c>
      <c r="E34" s="238">
        <f t="shared" si="0"/>
        <v>11</v>
      </c>
      <c r="F34" s="238">
        <f t="shared" si="0"/>
        <v>3</v>
      </c>
      <c r="G34" s="238">
        <f t="shared" si="0"/>
        <v>6</v>
      </c>
      <c r="H34" s="238">
        <f t="shared" si="0"/>
        <v>5</v>
      </c>
      <c r="I34" s="238">
        <f t="shared" si="0"/>
        <v>1</v>
      </c>
      <c r="J34" s="238">
        <f t="shared" si="0"/>
        <v>1</v>
      </c>
      <c r="K34" s="238">
        <f t="shared" si="0"/>
        <v>67</v>
      </c>
    </row>
    <row r="35" spans="1:17" s="154" customFormat="1" ht="40.5" customHeight="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7" s="156" customFormat="1" ht="33" customHeight="1">
      <c r="A36" s="389" t="s">
        <v>415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9"/>
      <c r="L36" s="389"/>
      <c r="M36" s="389"/>
      <c r="Q36" s="157"/>
    </row>
    <row r="37" spans="1:17" s="154" customFormat="1" ht="37.5" customHeight="1" thickBot="1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2"/>
      <c r="L37" s="262"/>
      <c r="M37" s="262"/>
      <c r="N37" s="262"/>
      <c r="O37" s="262"/>
      <c r="P37" s="262"/>
    </row>
    <row r="38" spans="1:17" s="154" customFormat="1" ht="52.5" customHeight="1">
      <c r="A38" s="424" t="s">
        <v>417</v>
      </c>
      <c r="B38" s="426" t="s">
        <v>253</v>
      </c>
      <c r="C38" s="415"/>
      <c r="D38" s="415" t="s">
        <v>254</v>
      </c>
      <c r="E38" s="415" t="s">
        <v>255</v>
      </c>
      <c r="F38" s="427" t="s">
        <v>287</v>
      </c>
      <c r="G38" s="431" t="s">
        <v>257</v>
      </c>
      <c r="H38" s="415" t="s">
        <v>258</v>
      </c>
      <c r="I38" s="415" t="s">
        <v>259</v>
      </c>
      <c r="J38" s="415"/>
      <c r="K38" s="415" t="s">
        <v>34</v>
      </c>
      <c r="L38" s="423"/>
      <c r="M38" s="423"/>
      <c r="N38" s="423"/>
      <c r="O38" s="423"/>
      <c r="P38" s="262"/>
    </row>
    <row r="39" spans="1:17" s="154" customFormat="1" ht="74.25" customHeight="1">
      <c r="A39" s="425"/>
      <c r="B39" s="275" t="s">
        <v>260</v>
      </c>
      <c r="C39" s="240" t="s">
        <v>261</v>
      </c>
      <c r="D39" s="416"/>
      <c r="E39" s="416"/>
      <c r="F39" s="428"/>
      <c r="G39" s="432"/>
      <c r="H39" s="416"/>
      <c r="I39" s="239" t="s">
        <v>260</v>
      </c>
      <c r="J39" s="239" t="s">
        <v>261</v>
      </c>
      <c r="K39" s="415"/>
      <c r="L39" s="423"/>
      <c r="M39" s="242"/>
      <c r="N39" s="242"/>
      <c r="O39" s="423"/>
      <c r="P39" s="262"/>
    </row>
    <row r="40" spans="1:17" s="154" customFormat="1" ht="47.25" thickBot="1">
      <c r="A40" s="220" t="s">
        <v>354</v>
      </c>
      <c r="B40" s="265">
        <v>2</v>
      </c>
      <c r="C40" s="265">
        <v>6</v>
      </c>
      <c r="D40" s="265">
        <v>2</v>
      </c>
      <c r="E40" s="265">
        <v>3</v>
      </c>
      <c r="F40" s="265"/>
      <c r="G40" s="265"/>
      <c r="H40" s="265"/>
      <c r="I40" s="33"/>
      <c r="J40" s="265"/>
      <c r="K40" s="266">
        <f t="shared" ref="K40:K52" si="1">SUM(B40:J40)</f>
        <v>13</v>
      </c>
      <c r="L40" s="262"/>
      <c r="M40" s="262"/>
      <c r="N40" s="263"/>
      <c r="O40" s="262"/>
      <c r="P40" s="262"/>
    </row>
    <row r="41" spans="1:17" s="154" customFormat="1" ht="47.25" thickBot="1">
      <c r="A41" s="220" t="s">
        <v>358</v>
      </c>
      <c r="B41" s="265">
        <v>1</v>
      </c>
      <c r="C41" s="265">
        <v>1</v>
      </c>
      <c r="D41" s="265">
        <v>1</v>
      </c>
      <c r="E41" s="265">
        <v>4</v>
      </c>
      <c r="F41" s="265"/>
      <c r="G41" s="265"/>
      <c r="H41" s="265">
        <v>1</v>
      </c>
      <c r="I41" s="33"/>
      <c r="J41" s="265"/>
      <c r="K41" s="266">
        <f t="shared" si="1"/>
        <v>8</v>
      </c>
      <c r="L41" s="262"/>
      <c r="M41" s="262"/>
      <c r="N41" s="263"/>
      <c r="O41" s="262"/>
      <c r="P41" s="262"/>
    </row>
    <row r="42" spans="1:17" s="154" customFormat="1" ht="47.25" thickBot="1">
      <c r="A42" s="220" t="s">
        <v>357</v>
      </c>
      <c r="B42" s="265"/>
      <c r="C42" s="265">
        <v>1</v>
      </c>
      <c r="D42" s="265"/>
      <c r="E42" s="265">
        <v>3</v>
      </c>
      <c r="F42" s="265">
        <v>1</v>
      </c>
      <c r="G42" s="265"/>
      <c r="H42" s="265">
        <v>2</v>
      </c>
      <c r="I42" s="33"/>
      <c r="J42" s="265"/>
      <c r="K42" s="266">
        <f t="shared" si="1"/>
        <v>7</v>
      </c>
      <c r="L42" s="262"/>
      <c r="M42" s="262"/>
      <c r="N42" s="263"/>
      <c r="O42" s="262"/>
      <c r="P42" s="262"/>
    </row>
    <row r="43" spans="1:17" s="154" customFormat="1" ht="46.5">
      <c r="A43" s="270" t="s">
        <v>365</v>
      </c>
      <c r="B43" s="265">
        <v>1</v>
      </c>
      <c r="C43" s="265"/>
      <c r="D43" s="265">
        <v>1</v>
      </c>
      <c r="E43" s="265">
        <v>4</v>
      </c>
      <c r="F43" s="265"/>
      <c r="G43" s="265">
        <v>1</v>
      </c>
      <c r="H43" s="265"/>
      <c r="I43" s="33"/>
      <c r="J43" s="265"/>
      <c r="K43" s="266">
        <f t="shared" si="1"/>
        <v>7</v>
      </c>
      <c r="L43" s="262"/>
      <c r="M43" s="262"/>
      <c r="N43" s="263"/>
      <c r="O43" s="262"/>
      <c r="P43" s="262"/>
    </row>
    <row r="44" spans="1:17" s="154" customFormat="1" ht="46.5">
      <c r="A44" s="270" t="s">
        <v>360</v>
      </c>
      <c r="B44" s="265">
        <v>2</v>
      </c>
      <c r="C44" s="265"/>
      <c r="D44" s="265">
        <v>3</v>
      </c>
      <c r="E44" s="265">
        <v>1</v>
      </c>
      <c r="F44" s="265"/>
      <c r="G44" s="265"/>
      <c r="H44" s="265"/>
      <c r="I44" s="33"/>
      <c r="J44" s="265"/>
      <c r="K44" s="266">
        <f t="shared" si="1"/>
        <v>6</v>
      </c>
      <c r="L44" s="262"/>
      <c r="M44" s="262"/>
      <c r="N44" s="263"/>
      <c r="O44" s="262"/>
      <c r="P44" s="262"/>
    </row>
    <row r="45" spans="1:17" s="154" customFormat="1" ht="46.5">
      <c r="A45" s="270" t="s">
        <v>366</v>
      </c>
      <c r="B45" s="265">
        <v>1</v>
      </c>
      <c r="C45" s="265">
        <v>1</v>
      </c>
      <c r="D45" s="265"/>
      <c r="E45" s="265">
        <v>1</v>
      </c>
      <c r="F45" s="265"/>
      <c r="G45" s="265">
        <v>1</v>
      </c>
      <c r="H45" s="265">
        <v>2</v>
      </c>
      <c r="I45" s="33"/>
      <c r="J45" s="265"/>
      <c r="K45" s="266">
        <f t="shared" si="1"/>
        <v>6</v>
      </c>
      <c r="L45" s="262"/>
      <c r="M45" s="262"/>
      <c r="N45" s="263"/>
      <c r="O45" s="262"/>
      <c r="P45" s="262"/>
    </row>
    <row r="46" spans="1:17" s="154" customFormat="1" ht="47.25" thickBot="1">
      <c r="A46" s="220" t="s">
        <v>361</v>
      </c>
      <c r="B46" s="265">
        <v>2</v>
      </c>
      <c r="C46" s="265">
        <v>1</v>
      </c>
      <c r="D46" s="265">
        <v>1</v>
      </c>
      <c r="E46" s="265">
        <v>1</v>
      </c>
      <c r="F46" s="265">
        <v>1</v>
      </c>
      <c r="G46" s="265"/>
      <c r="H46" s="265"/>
      <c r="I46" s="33"/>
      <c r="J46" s="265"/>
      <c r="K46" s="266">
        <f t="shared" si="1"/>
        <v>6</v>
      </c>
      <c r="L46" s="262"/>
      <c r="M46" s="262"/>
      <c r="N46" s="263"/>
      <c r="O46" s="262"/>
      <c r="P46" s="262"/>
    </row>
    <row r="47" spans="1:17" s="154" customFormat="1" ht="46.5">
      <c r="A47" s="270" t="s">
        <v>367</v>
      </c>
      <c r="B47" s="265"/>
      <c r="C47" s="265">
        <v>3</v>
      </c>
      <c r="D47" s="265"/>
      <c r="E47" s="265">
        <v>3</v>
      </c>
      <c r="F47" s="265"/>
      <c r="G47" s="265"/>
      <c r="H47" s="265"/>
      <c r="I47" s="33"/>
      <c r="J47" s="265"/>
      <c r="K47" s="266">
        <f t="shared" si="1"/>
        <v>6</v>
      </c>
      <c r="L47" s="262"/>
      <c r="M47" s="262"/>
      <c r="N47" s="263"/>
      <c r="O47" s="262"/>
      <c r="P47" s="262"/>
    </row>
    <row r="48" spans="1:17" s="154" customFormat="1" ht="46.5">
      <c r="A48" s="270" t="s">
        <v>368</v>
      </c>
      <c r="B48" s="265"/>
      <c r="C48" s="265">
        <v>1</v>
      </c>
      <c r="D48" s="265">
        <v>2</v>
      </c>
      <c r="E48" s="265">
        <v>1</v>
      </c>
      <c r="F48" s="265"/>
      <c r="G48" s="265">
        <v>1</v>
      </c>
      <c r="H48" s="265"/>
      <c r="I48" s="33"/>
      <c r="J48" s="265"/>
      <c r="K48" s="266">
        <f t="shared" si="1"/>
        <v>5</v>
      </c>
      <c r="L48" s="262"/>
      <c r="M48" s="262"/>
      <c r="N48" s="263"/>
      <c r="O48" s="262"/>
      <c r="P48" s="262"/>
    </row>
    <row r="49" spans="1:16" s="154" customFormat="1" ht="46.5">
      <c r="A49" s="270" t="s">
        <v>369</v>
      </c>
      <c r="B49" s="265">
        <v>1</v>
      </c>
      <c r="C49" s="265"/>
      <c r="D49" s="265">
        <v>1</v>
      </c>
      <c r="E49" s="265">
        <v>3</v>
      </c>
      <c r="F49" s="265"/>
      <c r="G49" s="265"/>
      <c r="H49" s="265"/>
      <c r="I49" s="33"/>
      <c r="J49" s="265"/>
      <c r="K49" s="266">
        <f t="shared" si="1"/>
        <v>5</v>
      </c>
      <c r="L49" s="262"/>
      <c r="M49" s="262"/>
      <c r="N49" s="263"/>
      <c r="O49" s="262"/>
      <c r="P49" s="262"/>
    </row>
    <row r="50" spans="1:16" s="154" customFormat="1" ht="46.5">
      <c r="A50" s="270" t="s">
        <v>370</v>
      </c>
      <c r="B50" s="265">
        <v>1</v>
      </c>
      <c r="C50" s="265">
        <v>3</v>
      </c>
      <c r="D50" s="265"/>
      <c r="E50" s="265">
        <v>1</v>
      </c>
      <c r="F50" s="265"/>
      <c r="G50" s="265"/>
      <c r="H50" s="265"/>
      <c r="I50" s="33"/>
      <c r="J50" s="265"/>
      <c r="K50" s="266">
        <f t="shared" si="1"/>
        <v>5</v>
      </c>
      <c r="L50" s="262"/>
      <c r="M50" s="262"/>
      <c r="N50" s="263"/>
      <c r="O50" s="262"/>
      <c r="P50" s="262"/>
    </row>
    <row r="51" spans="1:16" s="154" customFormat="1" ht="46.5">
      <c r="A51" s="270" t="s">
        <v>371</v>
      </c>
      <c r="B51" s="265"/>
      <c r="C51" s="265"/>
      <c r="D51" s="265">
        <v>3</v>
      </c>
      <c r="E51" s="265"/>
      <c r="F51" s="265">
        <v>1</v>
      </c>
      <c r="G51" s="265"/>
      <c r="H51" s="265"/>
      <c r="I51" s="33"/>
      <c r="J51" s="265">
        <v>1</v>
      </c>
      <c r="K51" s="266">
        <f t="shared" si="1"/>
        <v>5</v>
      </c>
      <c r="L51" s="262"/>
      <c r="M51" s="262"/>
      <c r="N51" s="263"/>
      <c r="O51" s="262"/>
      <c r="P51" s="262"/>
    </row>
    <row r="52" spans="1:16" s="154" customFormat="1" ht="46.5">
      <c r="A52" s="270" t="s">
        <v>372</v>
      </c>
      <c r="B52" s="265"/>
      <c r="C52" s="265">
        <v>2</v>
      </c>
      <c r="D52" s="265">
        <v>1</v>
      </c>
      <c r="E52" s="265">
        <v>1</v>
      </c>
      <c r="F52" s="265">
        <v>1</v>
      </c>
      <c r="G52" s="265"/>
      <c r="H52" s="265"/>
      <c r="I52" s="33"/>
      <c r="J52" s="265"/>
      <c r="K52" s="266">
        <f t="shared" si="1"/>
        <v>5</v>
      </c>
      <c r="L52" s="262"/>
      <c r="M52" s="262"/>
      <c r="N52" s="263"/>
      <c r="O52" s="262"/>
      <c r="P52" s="262"/>
    </row>
    <row r="53" spans="1:16" s="154" customFormat="1" ht="44.25" customHeight="1">
      <c r="A53" s="35" t="s">
        <v>34</v>
      </c>
      <c r="B53" s="243">
        <f t="shared" ref="B53:K53" si="2">SUM(B40:B52)</f>
        <v>11</v>
      </c>
      <c r="C53" s="243">
        <f t="shared" si="2"/>
        <v>19</v>
      </c>
      <c r="D53" s="243">
        <f t="shared" si="2"/>
        <v>15</v>
      </c>
      <c r="E53" s="243">
        <f t="shared" si="2"/>
        <v>26</v>
      </c>
      <c r="F53" s="243">
        <f t="shared" si="2"/>
        <v>4</v>
      </c>
      <c r="G53" s="243">
        <f t="shared" si="2"/>
        <v>3</v>
      </c>
      <c r="H53" s="243">
        <f t="shared" si="2"/>
        <v>5</v>
      </c>
      <c r="I53" s="243">
        <f t="shared" si="2"/>
        <v>0</v>
      </c>
      <c r="J53" s="243">
        <f t="shared" si="2"/>
        <v>1</v>
      </c>
      <c r="K53" s="243">
        <f t="shared" si="2"/>
        <v>84</v>
      </c>
      <c r="L53" s="262"/>
      <c r="M53" s="262"/>
      <c r="N53" s="262"/>
      <c r="O53" s="262"/>
      <c r="P53" s="262"/>
    </row>
    <row r="54" spans="1:16" s="154" customFormat="1" ht="44.25" customHeight="1">
      <c r="A54" s="36"/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2"/>
      <c r="M54" s="262"/>
      <c r="N54" s="262"/>
      <c r="O54" s="262"/>
      <c r="P54" s="262"/>
    </row>
    <row r="55" spans="1:16" s="9" customFormat="1" ht="45" customHeight="1">
      <c r="A55" s="399" t="s">
        <v>54</v>
      </c>
      <c r="B55" s="399"/>
      <c r="C55" s="399"/>
    </row>
  </sheetData>
  <mergeCells count="25">
    <mergeCell ref="E20:E21"/>
    <mergeCell ref="F20:F21"/>
    <mergeCell ref="G20:G21"/>
    <mergeCell ref="H20:H21"/>
    <mergeCell ref="A55:C55"/>
    <mergeCell ref="G38:G39"/>
    <mergeCell ref="H38:H39"/>
    <mergeCell ref="B20:C20"/>
    <mergeCell ref="D20:D21"/>
    <mergeCell ref="I38:J38"/>
    <mergeCell ref="A36:M36"/>
    <mergeCell ref="A1:M1"/>
    <mergeCell ref="O38:O39"/>
    <mergeCell ref="I20:J20"/>
    <mergeCell ref="K20:K21"/>
    <mergeCell ref="A38:A39"/>
    <mergeCell ref="B38:C38"/>
    <mergeCell ref="D38:D39"/>
    <mergeCell ref="E38:E39"/>
    <mergeCell ref="F38:F39"/>
    <mergeCell ref="L38:L39"/>
    <mergeCell ref="M38:N38"/>
    <mergeCell ref="K38:K39"/>
    <mergeCell ref="A18:M18"/>
    <mergeCell ref="A20:A2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36"/>
  <sheetViews>
    <sheetView rightToLeft="1" workbookViewId="0">
      <selection activeCell="A18" sqref="A18:XFD18"/>
    </sheetView>
  </sheetViews>
  <sheetFormatPr defaultRowHeight="15"/>
  <cols>
    <col min="1" max="1" width="32.5703125" customWidth="1"/>
  </cols>
  <sheetData>
    <row r="1" spans="1:17" s="156" customFormat="1" ht="33" customHeight="1">
      <c r="A1" s="389" t="s">
        <v>418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Q1" s="157"/>
    </row>
    <row r="3" spans="1:17" s="154" customFormat="1" ht="93.75" customHeight="1">
      <c r="A3" s="269" t="s">
        <v>373</v>
      </c>
      <c r="B3" s="244">
        <v>1</v>
      </c>
      <c r="C3" s="244">
        <v>2</v>
      </c>
      <c r="D3" s="244">
        <v>3</v>
      </c>
      <c r="E3" s="244">
        <v>4</v>
      </c>
      <c r="F3" s="244">
        <v>5</v>
      </c>
      <c r="G3" s="244" t="s">
        <v>34</v>
      </c>
      <c r="H3" s="242"/>
      <c r="I3" s="242"/>
    </row>
    <row r="4" spans="1:17" s="154" customFormat="1" ht="42.75" customHeight="1" thickBot="1">
      <c r="A4" s="212" t="s">
        <v>353</v>
      </c>
      <c r="B4" s="267" t="s">
        <v>107</v>
      </c>
      <c r="C4" s="267">
        <v>3</v>
      </c>
      <c r="D4" s="267">
        <v>1</v>
      </c>
      <c r="E4" s="267">
        <v>5</v>
      </c>
      <c r="F4" s="267" t="s">
        <v>107</v>
      </c>
      <c r="G4" s="268">
        <v>9</v>
      </c>
    </row>
    <row r="5" spans="1:17" s="154" customFormat="1" ht="47.25" thickBot="1">
      <c r="A5" s="212" t="s">
        <v>354</v>
      </c>
      <c r="B5" s="267" t="s">
        <v>107</v>
      </c>
      <c r="C5" s="267">
        <v>2</v>
      </c>
      <c r="D5" s="267">
        <v>4</v>
      </c>
      <c r="E5" s="267">
        <v>1</v>
      </c>
      <c r="F5" s="267" t="s">
        <v>107</v>
      </c>
      <c r="G5" s="268">
        <v>7</v>
      </c>
    </row>
    <row r="6" spans="1:17" s="154" customFormat="1" ht="47.25" thickBot="1">
      <c r="A6" s="212" t="s">
        <v>355</v>
      </c>
      <c r="B6" s="267" t="s">
        <v>107</v>
      </c>
      <c r="C6" s="267">
        <v>3</v>
      </c>
      <c r="D6" s="267">
        <v>2</v>
      </c>
      <c r="E6" s="267">
        <v>1</v>
      </c>
      <c r="F6" s="267" t="s">
        <v>107</v>
      </c>
      <c r="G6" s="268">
        <v>6</v>
      </c>
    </row>
    <row r="7" spans="1:17" s="154" customFormat="1" ht="47.25" thickBot="1">
      <c r="A7" s="212" t="s">
        <v>356</v>
      </c>
      <c r="B7" s="267">
        <v>1</v>
      </c>
      <c r="C7" s="267">
        <v>2</v>
      </c>
      <c r="D7" s="267" t="s">
        <v>107</v>
      </c>
      <c r="E7" s="267">
        <v>2</v>
      </c>
      <c r="F7" s="267" t="s">
        <v>107</v>
      </c>
      <c r="G7" s="268">
        <v>5</v>
      </c>
    </row>
    <row r="8" spans="1:17" s="154" customFormat="1" ht="47.25" thickBot="1">
      <c r="A8" s="212" t="s">
        <v>357</v>
      </c>
      <c r="B8" s="267" t="s">
        <v>107</v>
      </c>
      <c r="C8" s="267" t="s">
        <v>107</v>
      </c>
      <c r="D8" s="267">
        <v>1</v>
      </c>
      <c r="E8" s="267">
        <v>4</v>
      </c>
      <c r="F8" s="267" t="s">
        <v>107</v>
      </c>
      <c r="G8" s="268">
        <v>5</v>
      </c>
    </row>
    <row r="9" spans="1:17" s="154" customFormat="1" ht="47.25" thickBot="1">
      <c r="A9" s="212" t="s">
        <v>358</v>
      </c>
      <c r="B9" s="267" t="s">
        <v>107</v>
      </c>
      <c r="C9" s="267">
        <v>1</v>
      </c>
      <c r="D9" s="267">
        <v>3</v>
      </c>
      <c r="E9" s="267">
        <v>1</v>
      </c>
      <c r="F9" s="267" t="s">
        <v>107</v>
      </c>
      <c r="G9" s="268">
        <v>5</v>
      </c>
    </row>
    <row r="10" spans="1:17" s="154" customFormat="1" ht="47.25" thickBot="1">
      <c r="A10" s="212" t="s">
        <v>359</v>
      </c>
      <c r="B10" s="267" t="s">
        <v>107</v>
      </c>
      <c r="C10" s="267" t="s">
        <v>107</v>
      </c>
      <c r="D10" s="267">
        <v>2</v>
      </c>
      <c r="E10" s="267">
        <v>2</v>
      </c>
      <c r="F10" s="267">
        <v>1</v>
      </c>
      <c r="G10" s="268">
        <v>5</v>
      </c>
    </row>
    <row r="11" spans="1:17" s="154" customFormat="1" ht="47.25" thickBot="1">
      <c r="A11" s="212" t="s">
        <v>360</v>
      </c>
      <c r="B11" s="267" t="s">
        <v>107</v>
      </c>
      <c r="C11" s="267" t="s">
        <v>107</v>
      </c>
      <c r="D11" s="267">
        <v>4</v>
      </c>
      <c r="E11" s="267">
        <v>1</v>
      </c>
      <c r="F11" s="267" t="s">
        <v>107</v>
      </c>
      <c r="G11" s="268">
        <v>5</v>
      </c>
    </row>
    <row r="12" spans="1:17" s="154" customFormat="1" ht="47.25" thickBot="1">
      <c r="A12" s="212" t="s">
        <v>361</v>
      </c>
      <c r="B12" s="267" t="s">
        <v>107</v>
      </c>
      <c r="C12" s="267" t="s">
        <v>107</v>
      </c>
      <c r="D12" s="267">
        <v>5</v>
      </c>
      <c r="E12" s="267" t="s">
        <v>107</v>
      </c>
      <c r="F12" s="267" t="s">
        <v>107</v>
      </c>
      <c r="G12" s="268">
        <v>5</v>
      </c>
    </row>
    <row r="13" spans="1:17" s="154" customFormat="1" ht="47.25" thickBot="1">
      <c r="A13" s="212" t="s">
        <v>362</v>
      </c>
      <c r="B13" s="267" t="s">
        <v>107</v>
      </c>
      <c r="C13" s="267">
        <v>1</v>
      </c>
      <c r="D13" s="267">
        <v>2</v>
      </c>
      <c r="E13" s="267">
        <v>1</v>
      </c>
      <c r="F13" s="267">
        <v>1</v>
      </c>
      <c r="G13" s="268">
        <v>5</v>
      </c>
    </row>
    <row r="14" spans="1:17" s="154" customFormat="1" ht="47.25" thickBot="1">
      <c r="A14" s="212" t="s">
        <v>363</v>
      </c>
      <c r="B14" s="267" t="s">
        <v>107</v>
      </c>
      <c r="C14" s="267" t="s">
        <v>107</v>
      </c>
      <c r="D14" s="267">
        <v>4</v>
      </c>
      <c r="E14" s="267">
        <v>1</v>
      </c>
      <c r="F14" s="267" t="s">
        <v>107</v>
      </c>
      <c r="G14" s="268">
        <v>5</v>
      </c>
    </row>
    <row r="15" spans="1:17" s="154" customFormat="1" ht="41.25" customHeight="1">
      <c r="A15" s="257" t="s">
        <v>364</v>
      </c>
      <c r="B15" s="267" t="s">
        <v>107</v>
      </c>
      <c r="C15" s="267">
        <v>1</v>
      </c>
      <c r="D15" s="267">
        <v>3</v>
      </c>
      <c r="E15" s="267">
        <v>1</v>
      </c>
      <c r="F15" s="267" t="s">
        <v>107</v>
      </c>
      <c r="G15" s="268">
        <v>5</v>
      </c>
    </row>
    <row r="16" spans="1:17" s="154" customFormat="1" ht="41.25" customHeight="1">
      <c r="A16" s="264" t="s">
        <v>34</v>
      </c>
      <c r="B16" s="268">
        <f t="shared" ref="B16:G16" si="0">SUM(B4:B15)</f>
        <v>1</v>
      </c>
      <c r="C16" s="268">
        <f t="shared" si="0"/>
        <v>13</v>
      </c>
      <c r="D16" s="268">
        <f t="shared" si="0"/>
        <v>31</v>
      </c>
      <c r="E16" s="268">
        <f t="shared" si="0"/>
        <v>20</v>
      </c>
      <c r="F16" s="268">
        <f t="shared" si="0"/>
        <v>2</v>
      </c>
      <c r="G16" s="268">
        <f t="shared" si="0"/>
        <v>67</v>
      </c>
    </row>
    <row r="17" spans="1:17" s="154" customFormat="1" ht="41.25" customHeight="1">
      <c r="A17" s="272"/>
      <c r="B17" s="271"/>
      <c r="C17" s="271"/>
      <c r="D17" s="271"/>
      <c r="E17" s="271"/>
      <c r="F17" s="271"/>
      <c r="G17" s="271"/>
    </row>
    <row r="18" spans="1:17" s="156" customFormat="1" ht="33" customHeight="1">
      <c r="A18" s="389" t="s">
        <v>419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Q18" s="157"/>
    </row>
    <row r="19" spans="1:17" s="156" customFormat="1" ht="33" customHeight="1">
      <c r="A19" s="245"/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Q19" s="157"/>
    </row>
    <row r="20" spans="1:17" s="154" customFormat="1" ht="63">
      <c r="A20" s="269" t="s">
        <v>373</v>
      </c>
      <c r="B20" s="244">
        <v>1</v>
      </c>
      <c r="C20" s="244">
        <v>2</v>
      </c>
      <c r="D20" s="244">
        <v>3</v>
      </c>
      <c r="E20" s="244">
        <v>4</v>
      </c>
      <c r="F20" s="244">
        <v>5</v>
      </c>
      <c r="G20" s="244" t="s">
        <v>34</v>
      </c>
    </row>
    <row r="21" spans="1:17" s="154" customFormat="1" ht="47.25" thickBot="1">
      <c r="A21" s="220" t="s">
        <v>354</v>
      </c>
      <c r="B21" s="200"/>
      <c r="C21" s="200">
        <v>4</v>
      </c>
      <c r="D21" s="200">
        <v>4</v>
      </c>
      <c r="E21" s="200">
        <v>5</v>
      </c>
      <c r="F21" s="200"/>
      <c r="G21" s="203">
        <v>13</v>
      </c>
    </row>
    <row r="22" spans="1:17" s="154" customFormat="1" ht="47.25" thickBot="1">
      <c r="A22" s="220" t="s">
        <v>358</v>
      </c>
      <c r="B22" s="200"/>
      <c r="C22" s="200">
        <v>1</v>
      </c>
      <c r="D22" s="200">
        <v>2</v>
      </c>
      <c r="E22" s="200">
        <v>4</v>
      </c>
      <c r="F22" s="200">
        <v>1</v>
      </c>
      <c r="G22" s="203">
        <v>8</v>
      </c>
    </row>
    <row r="23" spans="1:17" s="154" customFormat="1" ht="47.25" thickBot="1">
      <c r="A23" s="220" t="s">
        <v>357</v>
      </c>
      <c r="B23" s="200"/>
      <c r="C23" s="200">
        <v>2</v>
      </c>
      <c r="D23" s="200">
        <v>2</v>
      </c>
      <c r="E23" s="200">
        <v>1</v>
      </c>
      <c r="F23" s="200">
        <v>2</v>
      </c>
      <c r="G23" s="203">
        <v>7</v>
      </c>
    </row>
    <row r="24" spans="1:17" s="154" customFormat="1" ht="47.25" thickBot="1">
      <c r="A24" s="270" t="s">
        <v>365</v>
      </c>
      <c r="B24" s="200"/>
      <c r="C24" s="200"/>
      <c r="D24" s="200">
        <v>3</v>
      </c>
      <c r="E24" s="200">
        <v>2</v>
      </c>
      <c r="F24" s="200">
        <v>2</v>
      </c>
      <c r="G24" s="203">
        <v>7</v>
      </c>
    </row>
    <row r="25" spans="1:17" s="154" customFormat="1" ht="47.25" thickBot="1">
      <c r="A25" s="270" t="s">
        <v>360</v>
      </c>
      <c r="B25" s="200"/>
      <c r="C25" s="200">
        <v>1</v>
      </c>
      <c r="D25" s="200">
        <v>4</v>
      </c>
      <c r="E25" s="200">
        <v>1</v>
      </c>
      <c r="F25" s="200"/>
      <c r="G25" s="203">
        <v>6</v>
      </c>
    </row>
    <row r="26" spans="1:17" s="154" customFormat="1" ht="47.25" thickBot="1">
      <c r="A26" s="270" t="s">
        <v>366</v>
      </c>
      <c r="B26" s="200"/>
      <c r="C26" s="200"/>
      <c r="D26" s="200">
        <v>5</v>
      </c>
      <c r="E26" s="200"/>
      <c r="F26" s="200">
        <v>1</v>
      </c>
      <c r="G26" s="203">
        <v>6</v>
      </c>
    </row>
    <row r="27" spans="1:17" s="154" customFormat="1" ht="47.25" thickBot="1">
      <c r="A27" s="220" t="s">
        <v>361</v>
      </c>
      <c r="B27" s="200"/>
      <c r="C27" s="200">
        <v>1</v>
      </c>
      <c r="D27" s="200">
        <v>4</v>
      </c>
      <c r="E27" s="200">
        <v>1</v>
      </c>
      <c r="F27" s="200"/>
      <c r="G27" s="203">
        <v>6</v>
      </c>
    </row>
    <row r="28" spans="1:17" s="154" customFormat="1" ht="47.25" thickBot="1">
      <c r="A28" s="270" t="s">
        <v>367</v>
      </c>
      <c r="B28" s="200"/>
      <c r="C28" s="200">
        <v>3</v>
      </c>
      <c r="D28" s="200"/>
      <c r="E28" s="200">
        <v>2</v>
      </c>
      <c r="F28" s="200">
        <v>1</v>
      </c>
      <c r="G28" s="203">
        <v>6</v>
      </c>
    </row>
    <row r="29" spans="1:17" s="154" customFormat="1" ht="47.25" thickBot="1">
      <c r="A29" s="270" t="s">
        <v>368</v>
      </c>
      <c r="B29" s="200"/>
      <c r="C29" s="200">
        <v>2</v>
      </c>
      <c r="D29" s="200">
        <v>2</v>
      </c>
      <c r="E29" s="200"/>
      <c r="F29" s="200">
        <v>1</v>
      </c>
      <c r="G29" s="203">
        <v>5</v>
      </c>
    </row>
    <row r="30" spans="1:17" s="154" customFormat="1" ht="47.25" thickBot="1">
      <c r="A30" s="270" t="s">
        <v>369</v>
      </c>
      <c r="B30" s="200"/>
      <c r="C30" s="200"/>
      <c r="D30" s="200">
        <v>2</v>
      </c>
      <c r="E30" s="200"/>
      <c r="F30" s="200">
        <v>3</v>
      </c>
      <c r="G30" s="203">
        <v>5</v>
      </c>
    </row>
    <row r="31" spans="1:17" s="154" customFormat="1" ht="47.25" thickBot="1">
      <c r="A31" s="270" t="s">
        <v>370</v>
      </c>
      <c r="B31" s="200"/>
      <c r="C31" s="200"/>
      <c r="D31" s="200">
        <v>1</v>
      </c>
      <c r="E31" s="200">
        <v>4</v>
      </c>
      <c r="F31" s="200"/>
      <c r="G31" s="203">
        <v>5</v>
      </c>
    </row>
    <row r="32" spans="1:17" ht="47.25" thickBot="1">
      <c r="A32" s="270" t="s">
        <v>371</v>
      </c>
      <c r="B32" s="200"/>
      <c r="C32" s="200">
        <v>3</v>
      </c>
      <c r="D32" s="200">
        <v>2</v>
      </c>
      <c r="E32" s="200"/>
      <c r="F32" s="200"/>
      <c r="G32" s="203">
        <v>5</v>
      </c>
      <c r="H32" s="154"/>
      <c r="I32" s="154"/>
    </row>
    <row r="33" spans="1:9" ht="46.5">
      <c r="A33" s="270" t="s">
        <v>372</v>
      </c>
      <c r="B33" s="273"/>
      <c r="C33" s="273"/>
      <c r="D33" s="273">
        <v>3</v>
      </c>
      <c r="E33" s="273"/>
      <c r="F33" s="273">
        <v>2</v>
      </c>
      <c r="G33" s="274">
        <v>5</v>
      </c>
      <c r="H33" s="154"/>
      <c r="I33" s="154"/>
    </row>
    <row r="34" spans="1:9" ht="46.5">
      <c r="A34" s="264" t="s">
        <v>34</v>
      </c>
      <c r="B34" s="243">
        <f t="shared" ref="B34:G34" si="1">SUM(B21:B33)</f>
        <v>0</v>
      </c>
      <c r="C34" s="243">
        <f t="shared" si="1"/>
        <v>17</v>
      </c>
      <c r="D34" s="243">
        <f t="shared" si="1"/>
        <v>34</v>
      </c>
      <c r="E34" s="243">
        <f t="shared" si="1"/>
        <v>20</v>
      </c>
      <c r="F34" s="243">
        <f t="shared" si="1"/>
        <v>13</v>
      </c>
      <c r="G34" s="243">
        <f t="shared" si="1"/>
        <v>84</v>
      </c>
    </row>
    <row r="36" spans="1:9" s="9" customFormat="1" ht="45" customHeight="1">
      <c r="A36" s="399" t="s">
        <v>54</v>
      </c>
      <c r="B36" s="399"/>
      <c r="C36" s="399"/>
    </row>
  </sheetData>
  <mergeCells count="3">
    <mergeCell ref="A1:M1"/>
    <mergeCell ref="A18:M18"/>
    <mergeCell ref="A36:C3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M47"/>
  <sheetViews>
    <sheetView rightToLeft="1" workbookViewId="0">
      <selection activeCell="A23" sqref="A23:XFD23"/>
    </sheetView>
  </sheetViews>
  <sheetFormatPr defaultColWidth="9.140625" defaultRowHeight="15"/>
  <cols>
    <col min="1" max="1" width="48.28515625" style="281" customWidth="1"/>
    <col min="2" max="9" width="9.140625" style="281"/>
    <col min="10" max="10" width="27.140625" style="281" customWidth="1"/>
    <col min="11" max="16384" width="9.140625" style="281"/>
  </cols>
  <sheetData>
    <row r="1" spans="1:13" s="278" customFormat="1" ht="55.5" customHeight="1">
      <c r="A1" s="386" t="s">
        <v>420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</row>
    <row r="2" spans="1:13" s="279" customFormat="1" ht="25.5" customHeight="1">
      <c r="A2" s="433"/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</row>
    <row r="3" spans="1:13" s="280" customFormat="1" ht="92.25" customHeight="1">
      <c r="A3" s="269" t="s">
        <v>391</v>
      </c>
      <c r="B3" s="277">
        <v>1</v>
      </c>
      <c r="C3" s="277">
        <v>2</v>
      </c>
      <c r="D3" s="277">
        <v>3</v>
      </c>
      <c r="E3" s="277">
        <v>4</v>
      </c>
      <c r="F3" s="277">
        <v>5</v>
      </c>
      <c r="G3" s="277" t="s">
        <v>34</v>
      </c>
    </row>
    <row r="4" spans="1:13" s="280" customFormat="1" ht="26.25" thickBot="1">
      <c r="A4" s="286" t="s">
        <v>377</v>
      </c>
      <c r="B4" s="283">
        <v>1</v>
      </c>
      <c r="C4" s="283">
        <v>7</v>
      </c>
      <c r="D4" s="283">
        <v>34</v>
      </c>
      <c r="E4" s="283">
        <v>55</v>
      </c>
      <c r="F4" s="283">
        <v>7</v>
      </c>
      <c r="G4" s="284">
        <v>104</v>
      </c>
    </row>
    <row r="5" spans="1:13" s="280" customFormat="1" ht="26.25" thickBot="1">
      <c r="A5" s="287" t="s">
        <v>374</v>
      </c>
      <c r="B5" s="283" t="s">
        <v>107</v>
      </c>
      <c r="C5" s="283">
        <v>11</v>
      </c>
      <c r="D5" s="283">
        <v>49</v>
      </c>
      <c r="E5" s="283">
        <v>2</v>
      </c>
      <c r="F5" s="283" t="s">
        <v>107</v>
      </c>
      <c r="G5" s="284">
        <v>62</v>
      </c>
    </row>
    <row r="6" spans="1:13" s="280" customFormat="1" ht="30" customHeight="1" thickBot="1">
      <c r="A6" s="287" t="s">
        <v>375</v>
      </c>
      <c r="B6" s="283">
        <v>1</v>
      </c>
      <c r="C6" s="283">
        <v>11</v>
      </c>
      <c r="D6" s="283">
        <v>25</v>
      </c>
      <c r="E6" s="283">
        <v>1</v>
      </c>
      <c r="F6" s="283" t="s">
        <v>107</v>
      </c>
      <c r="G6" s="284">
        <v>38</v>
      </c>
    </row>
    <row r="7" spans="1:13" s="280" customFormat="1" ht="26.25" thickBot="1">
      <c r="A7" s="287" t="s">
        <v>376</v>
      </c>
      <c r="B7" s="283" t="s">
        <v>107</v>
      </c>
      <c r="C7" s="283" t="s">
        <v>107</v>
      </c>
      <c r="D7" s="283">
        <v>8</v>
      </c>
      <c r="E7" s="283">
        <v>18</v>
      </c>
      <c r="F7" s="283" t="s">
        <v>107</v>
      </c>
      <c r="G7" s="284">
        <v>26</v>
      </c>
    </row>
    <row r="8" spans="1:13" s="280" customFormat="1" ht="26.25" thickBot="1">
      <c r="A8" s="287" t="s">
        <v>378</v>
      </c>
      <c r="B8" s="283" t="s">
        <v>107</v>
      </c>
      <c r="C8" s="283">
        <v>18</v>
      </c>
      <c r="D8" s="283">
        <v>2</v>
      </c>
      <c r="E8" s="283">
        <v>2</v>
      </c>
      <c r="F8" s="283" t="s">
        <v>107</v>
      </c>
      <c r="G8" s="284">
        <v>22</v>
      </c>
    </row>
    <row r="9" spans="1:13" s="280" customFormat="1" ht="33" customHeight="1" thickBot="1">
      <c r="A9" s="287" t="s">
        <v>379</v>
      </c>
      <c r="B9" s="283" t="s">
        <v>107</v>
      </c>
      <c r="C9" s="283">
        <v>4</v>
      </c>
      <c r="D9" s="283">
        <v>16</v>
      </c>
      <c r="E9" s="283" t="s">
        <v>107</v>
      </c>
      <c r="F9" s="283" t="s">
        <v>107</v>
      </c>
      <c r="G9" s="284">
        <v>20</v>
      </c>
    </row>
    <row r="10" spans="1:13" s="280" customFormat="1" ht="26.25" thickBot="1">
      <c r="A10" s="287" t="s">
        <v>380</v>
      </c>
      <c r="B10" s="283" t="s">
        <v>107</v>
      </c>
      <c r="C10" s="283" t="s">
        <v>107</v>
      </c>
      <c r="D10" s="283">
        <v>6</v>
      </c>
      <c r="E10" s="283">
        <v>11</v>
      </c>
      <c r="F10" s="283" t="s">
        <v>107</v>
      </c>
      <c r="G10" s="284">
        <v>17</v>
      </c>
    </row>
    <row r="11" spans="1:13" s="280" customFormat="1" ht="26.25" thickBot="1">
      <c r="A11" s="287" t="s">
        <v>381</v>
      </c>
      <c r="B11" s="283" t="s">
        <v>107</v>
      </c>
      <c r="C11" s="283" t="s">
        <v>107</v>
      </c>
      <c r="D11" s="283">
        <v>1</v>
      </c>
      <c r="E11" s="283">
        <v>6</v>
      </c>
      <c r="F11" s="283">
        <v>5</v>
      </c>
      <c r="G11" s="284">
        <v>12</v>
      </c>
    </row>
    <row r="12" spans="1:13" s="280" customFormat="1" ht="26.25" thickBot="1">
      <c r="A12" s="287" t="s">
        <v>382</v>
      </c>
      <c r="B12" s="283" t="s">
        <v>107</v>
      </c>
      <c r="C12" s="283" t="s">
        <v>107</v>
      </c>
      <c r="D12" s="283">
        <v>4</v>
      </c>
      <c r="E12" s="283">
        <v>6</v>
      </c>
      <c r="F12" s="283" t="s">
        <v>107</v>
      </c>
      <c r="G12" s="284">
        <v>10</v>
      </c>
    </row>
    <row r="13" spans="1:13" s="280" customFormat="1" ht="26.25" thickBot="1">
      <c r="A13" s="287" t="s">
        <v>383</v>
      </c>
      <c r="B13" s="283" t="s">
        <v>107</v>
      </c>
      <c r="C13" s="283" t="s">
        <v>107</v>
      </c>
      <c r="D13" s="283">
        <v>10</v>
      </c>
      <c r="E13" s="283" t="s">
        <v>107</v>
      </c>
      <c r="F13" s="283" t="s">
        <v>107</v>
      </c>
      <c r="G13" s="284">
        <v>10</v>
      </c>
    </row>
    <row r="14" spans="1:13" s="280" customFormat="1" ht="26.25" thickBot="1">
      <c r="A14" s="287" t="s">
        <v>384</v>
      </c>
      <c r="B14" s="283" t="s">
        <v>107</v>
      </c>
      <c r="C14" s="283" t="s">
        <v>107</v>
      </c>
      <c r="D14" s="283">
        <v>3</v>
      </c>
      <c r="E14" s="283">
        <v>6</v>
      </c>
      <c r="F14" s="283" t="s">
        <v>107</v>
      </c>
      <c r="G14" s="284">
        <v>9</v>
      </c>
    </row>
    <row r="15" spans="1:13" s="280" customFormat="1" ht="26.25" thickBot="1">
      <c r="A15" s="287" t="s">
        <v>385</v>
      </c>
      <c r="B15" s="283" t="s">
        <v>107</v>
      </c>
      <c r="C15" s="283" t="s">
        <v>107</v>
      </c>
      <c r="D15" s="283">
        <v>2</v>
      </c>
      <c r="E15" s="283">
        <v>5</v>
      </c>
      <c r="F15" s="283">
        <v>1</v>
      </c>
      <c r="G15" s="284">
        <v>8</v>
      </c>
    </row>
    <row r="16" spans="1:13" s="280" customFormat="1" ht="26.25" thickBot="1">
      <c r="A16" s="287" t="s">
        <v>386</v>
      </c>
      <c r="B16" s="283" t="s">
        <v>107</v>
      </c>
      <c r="C16" s="283" t="s">
        <v>107</v>
      </c>
      <c r="D16" s="283" t="s">
        <v>107</v>
      </c>
      <c r="E16" s="283">
        <v>5</v>
      </c>
      <c r="F16" s="283" t="s">
        <v>107</v>
      </c>
      <c r="G16" s="284">
        <v>5</v>
      </c>
    </row>
    <row r="17" spans="1:12" s="280" customFormat="1" ht="26.25" thickBot="1">
      <c r="A17" s="287" t="s">
        <v>387</v>
      </c>
      <c r="B17" s="283" t="s">
        <v>107</v>
      </c>
      <c r="C17" s="283" t="s">
        <v>107</v>
      </c>
      <c r="D17" s="283" t="s">
        <v>107</v>
      </c>
      <c r="E17" s="283">
        <v>4</v>
      </c>
      <c r="F17" s="283" t="s">
        <v>107</v>
      </c>
      <c r="G17" s="284">
        <v>4</v>
      </c>
    </row>
    <row r="18" spans="1:12" s="280" customFormat="1" ht="26.25" thickBot="1">
      <c r="A18" s="287" t="s">
        <v>388</v>
      </c>
      <c r="B18" s="283" t="s">
        <v>107</v>
      </c>
      <c r="C18" s="283" t="s">
        <v>107</v>
      </c>
      <c r="D18" s="283" t="s">
        <v>107</v>
      </c>
      <c r="E18" s="283">
        <v>2</v>
      </c>
      <c r="F18" s="283">
        <v>2</v>
      </c>
      <c r="G18" s="284">
        <v>4</v>
      </c>
    </row>
    <row r="19" spans="1:12" s="280" customFormat="1" ht="26.25" thickBot="1">
      <c r="A19" s="287" t="s">
        <v>389</v>
      </c>
      <c r="B19" s="283" t="s">
        <v>107</v>
      </c>
      <c r="C19" s="283">
        <v>3</v>
      </c>
      <c r="D19" s="283" t="s">
        <v>107</v>
      </c>
      <c r="E19" s="283" t="s">
        <v>107</v>
      </c>
      <c r="F19" s="283" t="s">
        <v>107</v>
      </c>
      <c r="G19" s="284">
        <v>3</v>
      </c>
    </row>
    <row r="20" spans="1:12" s="280" customFormat="1" ht="26.25" thickBot="1">
      <c r="A20" s="287" t="s">
        <v>390</v>
      </c>
      <c r="B20" s="283">
        <v>2</v>
      </c>
      <c r="C20" s="283" t="s">
        <v>288</v>
      </c>
      <c r="D20" s="283" t="s">
        <v>107</v>
      </c>
      <c r="E20" s="283" t="s">
        <v>107</v>
      </c>
      <c r="F20" s="283" t="s">
        <v>107</v>
      </c>
      <c r="G20" s="284">
        <v>3</v>
      </c>
    </row>
    <row r="21" spans="1:12" s="280" customFormat="1" ht="26.25" thickBot="1">
      <c r="A21" s="282" t="s">
        <v>322</v>
      </c>
      <c r="B21" s="285">
        <v>4</v>
      </c>
      <c r="C21" s="285">
        <v>55</v>
      </c>
      <c r="D21" s="285">
        <v>160</v>
      </c>
      <c r="E21" s="285">
        <v>123</v>
      </c>
      <c r="F21" s="285">
        <v>15</v>
      </c>
      <c r="G21" s="284">
        <f>SUM(G4:G20)</f>
        <v>357</v>
      </c>
    </row>
    <row r="22" spans="1:12" s="280" customFormat="1">
      <c r="A22" s="288"/>
      <c r="B22" s="289"/>
      <c r="C22" s="289"/>
      <c r="D22" s="289"/>
      <c r="E22" s="289"/>
      <c r="F22" s="289"/>
      <c r="G22" s="289"/>
    </row>
    <row r="23" spans="1:12" s="278" customFormat="1" ht="55.5" customHeight="1">
      <c r="A23" s="386" t="s">
        <v>421</v>
      </c>
      <c r="B23" s="387"/>
      <c r="C23" s="387"/>
      <c r="D23" s="387"/>
      <c r="E23" s="387"/>
      <c r="F23" s="387"/>
      <c r="G23" s="387"/>
      <c r="H23" s="387"/>
      <c r="I23" s="387"/>
      <c r="J23" s="387"/>
      <c r="K23" s="387"/>
      <c r="L23" s="387"/>
    </row>
    <row r="24" spans="1:12" s="280" customFormat="1" ht="15.75">
      <c r="A24" s="160"/>
    </row>
    <row r="25" spans="1:12" s="280" customFormat="1" ht="63">
      <c r="A25" s="269" t="s">
        <v>391</v>
      </c>
      <c r="B25" s="277">
        <v>1</v>
      </c>
      <c r="C25" s="277">
        <v>2</v>
      </c>
      <c r="D25" s="277">
        <v>3</v>
      </c>
      <c r="E25" s="277">
        <v>4</v>
      </c>
      <c r="F25" s="277">
        <v>5</v>
      </c>
      <c r="G25" s="277" t="s">
        <v>34</v>
      </c>
    </row>
    <row r="26" spans="1:12" s="292" customFormat="1" ht="39.950000000000003" customHeight="1" thickBot="1">
      <c r="A26" s="290" t="s">
        <v>392</v>
      </c>
      <c r="B26" s="295" t="s">
        <v>107</v>
      </c>
      <c r="C26" s="295">
        <v>10</v>
      </c>
      <c r="D26" s="295">
        <v>16</v>
      </c>
      <c r="E26" s="295">
        <v>49</v>
      </c>
      <c r="F26" s="295">
        <v>24</v>
      </c>
      <c r="G26" s="296">
        <v>99</v>
      </c>
    </row>
    <row r="27" spans="1:12" s="292" customFormat="1" ht="39.950000000000003" customHeight="1" thickBot="1">
      <c r="A27" s="293" t="s">
        <v>374</v>
      </c>
      <c r="B27" s="295">
        <v>1</v>
      </c>
      <c r="C27" s="295">
        <v>14</v>
      </c>
      <c r="D27" s="295">
        <v>41</v>
      </c>
      <c r="E27" s="295">
        <v>1</v>
      </c>
      <c r="F27" s="295" t="s">
        <v>107</v>
      </c>
      <c r="G27" s="296">
        <v>57</v>
      </c>
    </row>
    <row r="28" spans="1:12" s="292" customFormat="1" ht="39.950000000000003" customHeight="1" thickBot="1">
      <c r="A28" s="293" t="s">
        <v>375</v>
      </c>
      <c r="B28" s="295">
        <v>2</v>
      </c>
      <c r="C28" s="295">
        <v>5</v>
      </c>
      <c r="D28" s="295">
        <v>25</v>
      </c>
      <c r="E28" s="295" t="s">
        <v>107</v>
      </c>
      <c r="F28" s="295" t="s">
        <v>107</v>
      </c>
      <c r="G28" s="296">
        <v>32</v>
      </c>
    </row>
    <row r="29" spans="1:12" s="292" customFormat="1" ht="39.950000000000003" customHeight="1" thickBot="1">
      <c r="A29" s="293" t="s">
        <v>378</v>
      </c>
      <c r="B29" s="295" t="s">
        <v>107</v>
      </c>
      <c r="C29" s="295">
        <v>26</v>
      </c>
      <c r="D29" s="295">
        <v>2</v>
      </c>
      <c r="E29" s="295" t="s">
        <v>107</v>
      </c>
      <c r="F29" s="295" t="s">
        <v>107</v>
      </c>
      <c r="G29" s="296">
        <v>28</v>
      </c>
    </row>
    <row r="30" spans="1:12" s="292" customFormat="1" ht="39.950000000000003" customHeight="1" thickBot="1">
      <c r="A30" s="293" t="s">
        <v>379</v>
      </c>
      <c r="B30" s="295" t="s">
        <v>107</v>
      </c>
      <c r="C30" s="295">
        <v>1</v>
      </c>
      <c r="D30" s="295">
        <v>24</v>
      </c>
      <c r="E30" s="295" t="s">
        <v>107</v>
      </c>
      <c r="F30" s="295" t="s">
        <v>107</v>
      </c>
      <c r="G30" s="296">
        <v>25</v>
      </c>
    </row>
    <row r="31" spans="1:12" s="292" customFormat="1" ht="39.950000000000003" customHeight="1" thickBot="1">
      <c r="A31" s="293" t="s">
        <v>376</v>
      </c>
      <c r="B31" s="295" t="s">
        <v>107</v>
      </c>
      <c r="C31" s="295">
        <v>1</v>
      </c>
      <c r="D31" s="295">
        <v>7</v>
      </c>
      <c r="E31" s="295">
        <v>7</v>
      </c>
      <c r="F31" s="295" t="s">
        <v>107</v>
      </c>
      <c r="G31" s="296">
        <v>15</v>
      </c>
    </row>
    <row r="32" spans="1:12" s="292" customFormat="1" ht="39.950000000000003" customHeight="1" thickBot="1">
      <c r="A32" s="293" t="s">
        <v>384</v>
      </c>
      <c r="B32" s="295" t="s">
        <v>107</v>
      </c>
      <c r="C32" s="295">
        <v>2</v>
      </c>
      <c r="D32" s="295">
        <v>3</v>
      </c>
      <c r="E32" s="295">
        <v>9</v>
      </c>
      <c r="F32" s="295" t="s">
        <v>107</v>
      </c>
      <c r="G32" s="296">
        <v>14</v>
      </c>
    </row>
    <row r="33" spans="1:7" s="292" customFormat="1" ht="39.950000000000003" customHeight="1" thickBot="1">
      <c r="A33" s="293" t="s">
        <v>381</v>
      </c>
      <c r="B33" s="295" t="s">
        <v>107</v>
      </c>
      <c r="C33" s="295" t="s">
        <v>107</v>
      </c>
      <c r="D33" s="295">
        <v>1</v>
      </c>
      <c r="E33" s="295">
        <v>5</v>
      </c>
      <c r="F33" s="295">
        <v>7</v>
      </c>
      <c r="G33" s="296">
        <v>13</v>
      </c>
    </row>
    <row r="34" spans="1:7" s="292" customFormat="1" ht="39.950000000000003" customHeight="1" thickBot="1">
      <c r="A34" s="293" t="s">
        <v>380</v>
      </c>
      <c r="B34" s="295" t="s">
        <v>107</v>
      </c>
      <c r="C34" s="295" t="s">
        <v>107</v>
      </c>
      <c r="D34" s="295">
        <v>2</v>
      </c>
      <c r="E34" s="295">
        <v>7</v>
      </c>
      <c r="F34" s="295" t="s">
        <v>107</v>
      </c>
      <c r="G34" s="296">
        <v>9</v>
      </c>
    </row>
    <row r="35" spans="1:7" s="292" customFormat="1" ht="39.950000000000003" customHeight="1" thickBot="1">
      <c r="A35" s="293" t="s">
        <v>390</v>
      </c>
      <c r="B35" s="295" t="s">
        <v>107</v>
      </c>
      <c r="C35" s="295">
        <v>8</v>
      </c>
      <c r="D35" s="295" t="s">
        <v>107</v>
      </c>
      <c r="E35" s="295" t="s">
        <v>107</v>
      </c>
      <c r="F35" s="295" t="s">
        <v>107</v>
      </c>
      <c r="G35" s="296">
        <v>8</v>
      </c>
    </row>
    <row r="36" spans="1:7" s="292" customFormat="1" ht="39.950000000000003" customHeight="1" thickBot="1">
      <c r="A36" s="293" t="s">
        <v>393</v>
      </c>
      <c r="B36" s="295" t="s">
        <v>107</v>
      </c>
      <c r="C36" s="295" t="s">
        <v>107</v>
      </c>
      <c r="D36" s="295">
        <v>8</v>
      </c>
      <c r="E36" s="295" t="s">
        <v>107</v>
      </c>
      <c r="F36" s="295" t="s">
        <v>107</v>
      </c>
      <c r="G36" s="296">
        <v>8</v>
      </c>
    </row>
    <row r="37" spans="1:7" s="292" customFormat="1" ht="39.950000000000003" customHeight="1" thickBot="1">
      <c r="A37" s="293" t="s">
        <v>389</v>
      </c>
      <c r="B37" s="295" t="s">
        <v>107</v>
      </c>
      <c r="C37" s="295">
        <v>5</v>
      </c>
      <c r="D37" s="295" t="s">
        <v>107</v>
      </c>
      <c r="E37" s="295" t="s">
        <v>107</v>
      </c>
      <c r="F37" s="295" t="s">
        <v>107</v>
      </c>
      <c r="G37" s="296">
        <v>5</v>
      </c>
    </row>
    <row r="38" spans="1:7" s="292" customFormat="1" ht="39.950000000000003" customHeight="1" thickBot="1">
      <c r="A38" s="293" t="s">
        <v>386</v>
      </c>
      <c r="B38" s="295" t="s">
        <v>107</v>
      </c>
      <c r="C38" s="295" t="s">
        <v>107</v>
      </c>
      <c r="D38" s="295" t="s">
        <v>107</v>
      </c>
      <c r="E38" s="295">
        <v>5</v>
      </c>
      <c r="F38" s="295" t="s">
        <v>107</v>
      </c>
      <c r="G38" s="296">
        <v>5</v>
      </c>
    </row>
    <row r="39" spans="1:7" s="292" customFormat="1" ht="39.950000000000003" customHeight="1" thickBot="1">
      <c r="A39" s="293" t="s">
        <v>385</v>
      </c>
      <c r="B39" s="295" t="s">
        <v>107</v>
      </c>
      <c r="C39" s="295" t="s">
        <v>107</v>
      </c>
      <c r="D39" s="295" t="s">
        <v>107</v>
      </c>
      <c r="E39" s="295">
        <v>3</v>
      </c>
      <c r="F39" s="295">
        <v>2</v>
      </c>
      <c r="G39" s="296">
        <v>5</v>
      </c>
    </row>
    <row r="40" spans="1:7" s="292" customFormat="1" ht="39.950000000000003" customHeight="1" thickBot="1">
      <c r="A40" s="293" t="s">
        <v>394</v>
      </c>
      <c r="B40" s="295" t="s">
        <v>107</v>
      </c>
      <c r="C40" s="295" t="s">
        <v>107</v>
      </c>
      <c r="D40" s="295" t="s">
        <v>107</v>
      </c>
      <c r="E40" s="295">
        <v>3</v>
      </c>
      <c r="F40" s="295">
        <v>2</v>
      </c>
      <c r="G40" s="296">
        <v>5</v>
      </c>
    </row>
    <row r="41" spans="1:7" s="292" customFormat="1" ht="39.950000000000003" customHeight="1" thickBot="1">
      <c r="A41" s="293" t="s">
        <v>388</v>
      </c>
      <c r="B41" s="295" t="s">
        <v>107</v>
      </c>
      <c r="C41" s="295" t="s">
        <v>107</v>
      </c>
      <c r="D41" s="295">
        <v>1</v>
      </c>
      <c r="E41" s="295">
        <v>4</v>
      </c>
      <c r="F41" s="295" t="s">
        <v>107</v>
      </c>
      <c r="G41" s="296">
        <v>5</v>
      </c>
    </row>
    <row r="42" spans="1:7" s="292" customFormat="1" ht="39.950000000000003" customHeight="1" thickBot="1">
      <c r="A42" s="293" t="s">
        <v>387</v>
      </c>
      <c r="B42" s="295" t="s">
        <v>107</v>
      </c>
      <c r="C42" s="295" t="s">
        <v>107</v>
      </c>
      <c r="D42" s="295" t="s">
        <v>107</v>
      </c>
      <c r="E42" s="295">
        <v>4</v>
      </c>
      <c r="F42" s="295" t="s">
        <v>107</v>
      </c>
      <c r="G42" s="296">
        <v>4</v>
      </c>
    </row>
    <row r="43" spans="1:7" s="292" customFormat="1" ht="39.950000000000003" customHeight="1" thickBot="1">
      <c r="A43" s="293" t="s">
        <v>382</v>
      </c>
      <c r="B43" s="295" t="s">
        <v>107</v>
      </c>
      <c r="C43" s="295" t="s">
        <v>107</v>
      </c>
      <c r="D43" s="295">
        <v>1</v>
      </c>
      <c r="E43" s="295" t="s">
        <v>107</v>
      </c>
      <c r="F43" s="295" t="s">
        <v>107</v>
      </c>
      <c r="G43" s="296">
        <v>1</v>
      </c>
    </row>
    <row r="44" spans="1:7" s="292" customFormat="1" ht="39.950000000000003" customHeight="1" thickBot="1">
      <c r="A44" s="293" t="s">
        <v>395</v>
      </c>
      <c r="B44" s="295" t="s">
        <v>107</v>
      </c>
      <c r="C44" s="295" t="s">
        <v>107</v>
      </c>
      <c r="D44" s="295">
        <v>1</v>
      </c>
      <c r="E44" s="295" t="s">
        <v>107</v>
      </c>
      <c r="F44" s="295" t="s">
        <v>107</v>
      </c>
      <c r="G44" s="296">
        <v>1</v>
      </c>
    </row>
    <row r="45" spans="1:7" s="292" customFormat="1" ht="39.950000000000003" customHeight="1" thickBot="1">
      <c r="A45" s="282" t="s">
        <v>34</v>
      </c>
      <c r="B45" s="297">
        <v>3</v>
      </c>
      <c r="C45" s="297">
        <v>72</v>
      </c>
      <c r="D45" s="297">
        <v>132</v>
      </c>
      <c r="E45" s="297">
        <v>97</v>
      </c>
      <c r="F45" s="297">
        <v>35</v>
      </c>
      <c r="G45" s="296">
        <f>SUM(B45:F45)</f>
        <v>339</v>
      </c>
    </row>
    <row r="47" spans="1:7" s="9" customFormat="1" ht="45" customHeight="1">
      <c r="A47" s="399" t="s">
        <v>54</v>
      </c>
      <c r="B47" s="399"/>
      <c r="C47" s="399"/>
    </row>
  </sheetData>
  <mergeCells count="4">
    <mergeCell ref="A47:C47"/>
    <mergeCell ref="A2:M2"/>
    <mergeCell ref="A1:L1"/>
    <mergeCell ref="A23:L2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7"/>
  <sheetViews>
    <sheetView rightToLeft="1" workbookViewId="0">
      <selection activeCell="A23" sqref="A23:XFD23"/>
    </sheetView>
  </sheetViews>
  <sheetFormatPr defaultColWidth="9.140625" defaultRowHeight="15"/>
  <cols>
    <col min="1" max="1" width="55.5703125" style="281" customWidth="1"/>
    <col min="2" max="2" width="14" style="281" customWidth="1"/>
    <col min="3" max="3" width="9.140625" style="281"/>
    <col min="4" max="4" width="15.42578125" style="281" customWidth="1"/>
    <col min="5" max="5" width="16.140625" style="281" customWidth="1"/>
    <col min="6" max="16384" width="9.140625" style="281"/>
  </cols>
  <sheetData>
    <row r="1" spans="1:14" s="278" customFormat="1" ht="49.5" customHeight="1">
      <c r="A1" s="386" t="s">
        <v>408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279" customFormat="1" ht="49.5" customHeight="1" thickBot="1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1:14" s="280" customFormat="1" ht="79.5" customHeight="1" thickBot="1">
      <c r="A3" s="299" t="s">
        <v>404</v>
      </c>
      <c r="B3" s="301" t="s">
        <v>396</v>
      </c>
      <c r="C3" s="301" t="s">
        <v>397</v>
      </c>
      <c r="D3" s="301" t="s">
        <v>401</v>
      </c>
      <c r="E3" s="301" t="s">
        <v>402</v>
      </c>
      <c r="F3" s="301" t="s">
        <v>398</v>
      </c>
      <c r="G3" s="301" t="s">
        <v>399</v>
      </c>
      <c r="H3" s="302" t="s">
        <v>403</v>
      </c>
    </row>
    <row r="4" spans="1:14" s="280" customFormat="1" ht="26.25" thickBot="1">
      <c r="A4" s="286" t="s">
        <v>377</v>
      </c>
      <c r="B4" s="283">
        <v>44</v>
      </c>
      <c r="C4" s="283">
        <v>32</v>
      </c>
      <c r="D4" s="283">
        <v>9</v>
      </c>
      <c r="E4" s="283">
        <v>5</v>
      </c>
      <c r="F4" s="283">
        <v>6</v>
      </c>
      <c r="G4" s="283">
        <v>8</v>
      </c>
      <c r="H4" s="284">
        <v>104</v>
      </c>
    </row>
    <row r="5" spans="1:14" s="280" customFormat="1" ht="26.25" thickBot="1">
      <c r="A5" s="287" t="s">
        <v>374</v>
      </c>
      <c r="B5" s="283">
        <v>38</v>
      </c>
      <c r="C5" s="283">
        <v>11</v>
      </c>
      <c r="D5" s="283">
        <v>2</v>
      </c>
      <c r="E5" s="283">
        <v>8</v>
      </c>
      <c r="F5" s="283">
        <v>3</v>
      </c>
      <c r="G5" s="283" t="s">
        <v>107</v>
      </c>
      <c r="H5" s="284">
        <v>62</v>
      </c>
    </row>
    <row r="6" spans="1:14" s="280" customFormat="1" ht="26.25" thickBot="1">
      <c r="A6" s="287" t="s">
        <v>375</v>
      </c>
      <c r="B6" s="283">
        <v>23</v>
      </c>
      <c r="C6" s="283">
        <v>4</v>
      </c>
      <c r="D6" s="283">
        <v>5</v>
      </c>
      <c r="E6" s="283">
        <v>2</v>
      </c>
      <c r="F6" s="283">
        <v>4</v>
      </c>
      <c r="G6" s="283" t="s">
        <v>107</v>
      </c>
      <c r="H6" s="284">
        <v>38</v>
      </c>
    </row>
    <row r="7" spans="1:14" s="280" customFormat="1" ht="26.25" thickBot="1">
      <c r="A7" s="287" t="s">
        <v>376</v>
      </c>
      <c r="B7" s="283">
        <v>12</v>
      </c>
      <c r="C7" s="283">
        <v>4</v>
      </c>
      <c r="D7" s="283">
        <v>4</v>
      </c>
      <c r="E7" s="283">
        <v>3</v>
      </c>
      <c r="F7" s="283">
        <v>3</v>
      </c>
      <c r="G7" s="283" t="s">
        <v>107</v>
      </c>
      <c r="H7" s="284">
        <v>26</v>
      </c>
    </row>
    <row r="8" spans="1:14" s="280" customFormat="1" ht="26.25" thickBot="1">
      <c r="A8" s="287" t="s">
        <v>378</v>
      </c>
      <c r="B8" s="283">
        <v>10</v>
      </c>
      <c r="C8" s="283">
        <v>1</v>
      </c>
      <c r="D8" s="283">
        <v>8</v>
      </c>
      <c r="E8" s="283">
        <v>1</v>
      </c>
      <c r="F8" s="283">
        <v>2</v>
      </c>
      <c r="G8" s="283" t="s">
        <v>107</v>
      </c>
      <c r="H8" s="284">
        <v>22</v>
      </c>
    </row>
    <row r="9" spans="1:14" s="280" customFormat="1" ht="26.25" thickBot="1">
      <c r="A9" s="287" t="s">
        <v>379</v>
      </c>
      <c r="B9" s="283">
        <v>10</v>
      </c>
      <c r="C9" s="283">
        <v>4</v>
      </c>
      <c r="D9" s="283" t="s">
        <v>107</v>
      </c>
      <c r="E9" s="283">
        <v>3</v>
      </c>
      <c r="F9" s="283">
        <v>3</v>
      </c>
      <c r="G9" s="283" t="s">
        <v>107</v>
      </c>
      <c r="H9" s="284">
        <v>20</v>
      </c>
    </row>
    <row r="10" spans="1:14" s="280" customFormat="1" ht="26.25" thickBot="1">
      <c r="A10" s="287" t="s">
        <v>380</v>
      </c>
      <c r="B10" s="283">
        <v>12</v>
      </c>
      <c r="C10" s="283">
        <v>3</v>
      </c>
      <c r="D10" s="283" t="s">
        <v>107</v>
      </c>
      <c r="E10" s="283">
        <v>2</v>
      </c>
      <c r="F10" s="283" t="s">
        <v>107</v>
      </c>
      <c r="G10" s="283" t="s">
        <v>107</v>
      </c>
      <c r="H10" s="284">
        <v>17</v>
      </c>
    </row>
    <row r="11" spans="1:14" s="280" customFormat="1" ht="26.25" thickBot="1">
      <c r="A11" s="287" t="s">
        <v>381</v>
      </c>
      <c r="B11" s="283">
        <v>11</v>
      </c>
      <c r="C11" s="283" t="s">
        <v>107</v>
      </c>
      <c r="D11" s="283" t="s">
        <v>107</v>
      </c>
      <c r="E11" s="283">
        <v>1</v>
      </c>
      <c r="F11" s="283" t="s">
        <v>107</v>
      </c>
      <c r="G11" s="283" t="s">
        <v>107</v>
      </c>
      <c r="H11" s="284">
        <v>12</v>
      </c>
    </row>
    <row r="12" spans="1:14" s="280" customFormat="1" ht="26.25" thickBot="1">
      <c r="A12" s="287" t="s">
        <v>382</v>
      </c>
      <c r="B12" s="283">
        <v>6</v>
      </c>
      <c r="C12" s="283">
        <v>1</v>
      </c>
      <c r="D12" s="283" t="s">
        <v>107</v>
      </c>
      <c r="E12" s="283">
        <v>2</v>
      </c>
      <c r="F12" s="283">
        <v>1</v>
      </c>
      <c r="G12" s="283" t="s">
        <v>107</v>
      </c>
      <c r="H12" s="284">
        <v>10</v>
      </c>
    </row>
    <row r="13" spans="1:14" s="280" customFormat="1" ht="26.25" thickBot="1">
      <c r="A13" s="287" t="s">
        <v>383</v>
      </c>
      <c r="B13" s="283">
        <v>7</v>
      </c>
      <c r="C13" s="283" t="s">
        <v>107</v>
      </c>
      <c r="D13" s="283" t="s">
        <v>107</v>
      </c>
      <c r="E13" s="283">
        <v>2</v>
      </c>
      <c r="F13" s="283">
        <v>1</v>
      </c>
      <c r="G13" s="283" t="s">
        <v>107</v>
      </c>
      <c r="H13" s="284">
        <v>10</v>
      </c>
    </row>
    <row r="14" spans="1:14" s="280" customFormat="1" ht="26.25" thickBot="1">
      <c r="A14" s="287" t="s">
        <v>384</v>
      </c>
      <c r="B14" s="283">
        <v>8</v>
      </c>
      <c r="C14" s="283" t="s">
        <v>107</v>
      </c>
      <c r="D14" s="283">
        <v>1</v>
      </c>
      <c r="E14" s="283" t="s">
        <v>107</v>
      </c>
      <c r="F14" s="283" t="s">
        <v>107</v>
      </c>
      <c r="G14" s="283" t="s">
        <v>107</v>
      </c>
      <c r="H14" s="284">
        <v>9</v>
      </c>
    </row>
    <row r="15" spans="1:14" s="280" customFormat="1" ht="26.25" thickBot="1">
      <c r="A15" s="287" t="s">
        <v>385</v>
      </c>
      <c r="B15" s="283">
        <v>6</v>
      </c>
      <c r="C15" s="283" t="s">
        <v>107</v>
      </c>
      <c r="D15" s="283" t="s">
        <v>107</v>
      </c>
      <c r="E15" s="283">
        <v>1</v>
      </c>
      <c r="F15" s="283" t="s">
        <v>107</v>
      </c>
      <c r="G15" s="283">
        <v>1</v>
      </c>
      <c r="H15" s="284">
        <v>8</v>
      </c>
    </row>
    <row r="16" spans="1:14" s="280" customFormat="1" ht="26.25" thickBot="1">
      <c r="A16" s="287" t="s">
        <v>386</v>
      </c>
      <c r="B16" s="283">
        <v>4</v>
      </c>
      <c r="C16" s="283" t="s">
        <v>107</v>
      </c>
      <c r="D16" s="283" t="s">
        <v>107</v>
      </c>
      <c r="E16" s="283" t="s">
        <v>107</v>
      </c>
      <c r="F16" s="283" t="s">
        <v>107</v>
      </c>
      <c r="G16" s="283">
        <v>1</v>
      </c>
      <c r="H16" s="284">
        <v>5</v>
      </c>
    </row>
    <row r="17" spans="1:14" s="280" customFormat="1" ht="26.25" thickBot="1">
      <c r="A17" s="287" t="s">
        <v>387</v>
      </c>
      <c r="B17" s="283">
        <v>3</v>
      </c>
      <c r="C17" s="283" t="s">
        <v>107</v>
      </c>
      <c r="D17" s="283" t="s">
        <v>107</v>
      </c>
      <c r="E17" s="283" t="s">
        <v>107</v>
      </c>
      <c r="F17" s="283" t="s">
        <v>107</v>
      </c>
      <c r="G17" s="283">
        <v>1</v>
      </c>
      <c r="H17" s="284">
        <v>4</v>
      </c>
    </row>
    <row r="18" spans="1:14" s="280" customFormat="1" ht="31.5" customHeight="1" thickBot="1">
      <c r="A18" s="287" t="s">
        <v>388</v>
      </c>
      <c r="B18" s="283">
        <v>3</v>
      </c>
      <c r="C18" s="283" t="s">
        <v>107</v>
      </c>
      <c r="D18" s="283" t="s">
        <v>107</v>
      </c>
      <c r="E18" s="283" t="s">
        <v>107</v>
      </c>
      <c r="F18" s="283">
        <v>1</v>
      </c>
      <c r="G18" s="283" t="s">
        <v>107</v>
      </c>
      <c r="H18" s="284">
        <v>4</v>
      </c>
    </row>
    <row r="19" spans="1:14" s="280" customFormat="1" ht="26.25" thickBot="1">
      <c r="A19" s="287" t="s">
        <v>389</v>
      </c>
      <c r="B19" s="283">
        <v>1</v>
      </c>
      <c r="C19" s="283" t="s">
        <v>107</v>
      </c>
      <c r="D19" s="283">
        <v>2</v>
      </c>
      <c r="E19" s="283" t="s">
        <v>107</v>
      </c>
      <c r="F19" s="283" t="s">
        <v>107</v>
      </c>
      <c r="G19" s="283" t="s">
        <v>107</v>
      </c>
      <c r="H19" s="284">
        <v>3</v>
      </c>
    </row>
    <row r="20" spans="1:14" s="280" customFormat="1" ht="27.75" customHeight="1" thickBot="1">
      <c r="A20" s="287" t="s">
        <v>390</v>
      </c>
      <c r="B20" s="283" t="s">
        <v>107</v>
      </c>
      <c r="C20" s="283">
        <v>1</v>
      </c>
      <c r="D20" s="283">
        <v>1</v>
      </c>
      <c r="E20" s="283">
        <v>1</v>
      </c>
      <c r="F20" s="283" t="s">
        <v>107</v>
      </c>
      <c r="G20" s="283" t="s">
        <v>107</v>
      </c>
      <c r="H20" s="284">
        <v>3</v>
      </c>
    </row>
    <row r="21" spans="1:14" s="280" customFormat="1" ht="26.25" thickBot="1">
      <c r="A21" s="282" t="s">
        <v>322</v>
      </c>
      <c r="B21" s="285">
        <v>198</v>
      </c>
      <c r="C21" s="285">
        <v>61</v>
      </c>
      <c r="D21" s="285">
        <v>32</v>
      </c>
      <c r="E21" s="285">
        <v>31</v>
      </c>
      <c r="F21" s="285">
        <v>24</v>
      </c>
      <c r="G21" s="285">
        <v>11</v>
      </c>
      <c r="H21" s="284">
        <f>SUM(B21:G21)</f>
        <v>357</v>
      </c>
    </row>
    <row r="22" spans="1:14" s="280" customFormat="1">
      <c r="A22" s="288"/>
      <c r="B22" s="289"/>
      <c r="C22" s="289"/>
      <c r="D22" s="289"/>
      <c r="E22" s="289"/>
      <c r="F22" s="289"/>
      <c r="G22" s="289"/>
      <c r="H22" s="289"/>
    </row>
    <row r="23" spans="1:14" s="278" customFormat="1" ht="49.5" customHeight="1">
      <c r="A23" s="386" t="s">
        <v>409</v>
      </c>
      <c r="B23" s="387"/>
      <c r="C23" s="387"/>
      <c r="D23" s="387"/>
      <c r="E23" s="387"/>
      <c r="F23" s="387"/>
      <c r="G23" s="387"/>
      <c r="H23" s="387"/>
      <c r="I23" s="387"/>
      <c r="J23" s="387"/>
      <c r="K23" s="387"/>
      <c r="L23" s="387"/>
      <c r="M23" s="387"/>
      <c r="N23" s="387"/>
    </row>
    <row r="24" spans="1:14" s="280" customFormat="1">
      <c r="A24" s="303"/>
      <c r="B24" s="304"/>
      <c r="C24" s="304"/>
      <c r="D24" s="304"/>
      <c r="E24" s="304"/>
      <c r="F24" s="304"/>
      <c r="G24" s="304"/>
      <c r="H24" s="304"/>
    </row>
    <row r="25" spans="1:14" s="280" customFormat="1" ht="78.75">
      <c r="A25" s="299" t="s">
        <v>404</v>
      </c>
      <c r="B25" s="301" t="s">
        <v>396</v>
      </c>
      <c r="C25" s="301" t="s">
        <v>397</v>
      </c>
      <c r="D25" s="301" t="s">
        <v>401</v>
      </c>
      <c r="E25" s="301" t="s">
        <v>402</v>
      </c>
      <c r="F25" s="301" t="s">
        <v>398</v>
      </c>
      <c r="G25" s="301" t="s">
        <v>399</v>
      </c>
      <c r="H25" s="305" t="s">
        <v>400</v>
      </c>
    </row>
    <row r="26" spans="1:14" s="280" customFormat="1" ht="43.5" customHeight="1" thickBot="1">
      <c r="A26" s="286" t="s">
        <v>392</v>
      </c>
      <c r="B26" s="295">
        <v>44</v>
      </c>
      <c r="C26" s="295">
        <v>24</v>
      </c>
      <c r="D26" s="295">
        <v>12</v>
      </c>
      <c r="E26" s="295">
        <v>8</v>
      </c>
      <c r="F26" s="295">
        <v>10</v>
      </c>
      <c r="G26" s="295">
        <v>1</v>
      </c>
      <c r="H26" s="291">
        <v>99</v>
      </c>
    </row>
    <row r="27" spans="1:14" s="280" customFormat="1" ht="26.25" thickBot="1">
      <c r="A27" s="287" t="s">
        <v>374</v>
      </c>
      <c r="B27" s="295">
        <v>33</v>
      </c>
      <c r="C27" s="295">
        <v>12</v>
      </c>
      <c r="D27" s="295">
        <v>5</v>
      </c>
      <c r="E27" s="295">
        <v>7</v>
      </c>
      <c r="F27" s="295" t="s">
        <v>107</v>
      </c>
      <c r="G27" s="295" t="s">
        <v>107</v>
      </c>
      <c r="H27" s="291">
        <v>57</v>
      </c>
    </row>
    <row r="28" spans="1:14" s="280" customFormat="1" ht="26.25" thickBot="1">
      <c r="A28" s="287" t="s">
        <v>375</v>
      </c>
      <c r="B28" s="295">
        <v>22</v>
      </c>
      <c r="C28" s="295">
        <v>5</v>
      </c>
      <c r="D28" s="295">
        <v>4</v>
      </c>
      <c r="E28" s="295" t="s">
        <v>107</v>
      </c>
      <c r="F28" s="295">
        <v>1</v>
      </c>
      <c r="G28" s="295" t="s">
        <v>107</v>
      </c>
      <c r="H28" s="291">
        <v>32</v>
      </c>
    </row>
    <row r="29" spans="1:14" s="280" customFormat="1" ht="26.25" thickBot="1">
      <c r="A29" s="287" t="s">
        <v>378</v>
      </c>
      <c r="B29" s="295">
        <v>18</v>
      </c>
      <c r="C29" s="295">
        <v>2</v>
      </c>
      <c r="D29" s="295">
        <v>3</v>
      </c>
      <c r="E29" s="295">
        <v>1</v>
      </c>
      <c r="F29" s="295">
        <v>4</v>
      </c>
      <c r="G29" s="295" t="s">
        <v>107</v>
      </c>
      <c r="H29" s="291">
        <v>28</v>
      </c>
    </row>
    <row r="30" spans="1:14" s="280" customFormat="1" ht="26.25" thickBot="1">
      <c r="A30" s="287" t="s">
        <v>379</v>
      </c>
      <c r="B30" s="295">
        <v>17</v>
      </c>
      <c r="C30" s="295">
        <v>3</v>
      </c>
      <c r="D30" s="295">
        <v>3</v>
      </c>
      <c r="E30" s="295">
        <v>2</v>
      </c>
      <c r="F30" s="295" t="s">
        <v>107</v>
      </c>
      <c r="G30" s="295" t="s">
        <v>107</v>
      </c>
      <c r="H30" s="291">
        <v>25</v>
      </c>
    </row>
    <row r="31" spans="1:14" s="280" customFormat="1" ht="26.25" thickBot="1">
      <c r="A31" s="287" t="s">
        <v>376</v>
      </c>
      <c r="B31" s="295">
        <v>10</v>
      </c>
      <c r="C31" s="295">
        <v>2</v>
      </c>
      <c r="D31" s="295">
        <v>1</v>
      </c>
      <c r="E31" s="295">
        <v>1</v>
      </c>
      <c r="F31" s="295">
        <v>1</v>
      </c>
      <c r="G31" s="295" t="s">
        <v>107</v>
      </c>
      <c r="H31" s="291">
        <v>15</v>
      </c>
    </row>
    <row r="32" spans="1:14" s="280" customFormat="1" ht="26.25" thickBot="1">
      <c r="A32" s="287" t="s">
        <v>384</v>
      </c>
      <c r="B32" s="295">
        <v>5</v>
      </c>
      <c r="C32" s="295">
        <v>6</v>
      </c>
      <c r="D32" s="295">
        <v>1</v>
      </c>
      <c r="E32" s="295">
        <v>1</v>
      </c>
      <c r="F32" s="295" t="s">
        <v>107</v>
      </c>
      <c r="G32" s="295">
        <v>1</v>
      </c>
      <c r="H32" s="291">
        <v>14</v>
      </c>
    </row>
    <row r="33" spans="1:8" s="280" customFormat="1" ht="26.25" thickBot="1">
      <c r="A33" s="287" t="s">
        <v>381</v>
      </c>
      <c r="B33" s="295">
        <v>11</v>
      </c>
      <c r="C33" s="295" t="s">
        <v>107</v>
      </c>
      <c r="D33" s="295">
        <v>1</v>
      </c>
      <c r="E33" s="295" t="s">
        <v>107</v>
      </c>
      <c r="F33" s="295" t="s">
        <v>107</v>
      </c>
      <c r="G33" s="295">
        <v>1</v>
      </c>
      <c r="H33" s="291">
        <v>13</v>
      </c>
    </row>
    <row r="34" spans="1:8" s="280" customFormat="1" ht="26.25" thickBot="1">
      <c r="A34" s="287" t="s">
        <v>380</v>
      </c>
      <c r="B34" s="295">
        <v>7</v>
      </c>
      <c r="C34" s="295" t="s">
        <v>107</v>
      </c>
      <c r="D34" s="295" t="s">
        <v>107</v>
      </c>
      <c r="E34" s="295" t="s">
        <v>107</v>
      </c>
      <c r="F34" s="295">
        <v>2</v>
      </c>
      <c r="G34" s="295" t="s">
        <v>107</v>
      </c>
      <c r="H34" s="291">
        <v>9</v>
      </c>
    </row>
    <row r="35" spans="1:8" s="280" customFormat="1" ht="26.25" thickBot="1">
      <c r="A35" s="287" t="s">
        <v>390</v>
      </c>
      <c r="B35" s="295" t="s">
        <v>107</v>
      </c>
      <c r="C35" s="295">
        <v>5</v>
      </c>
      <c r="D35" s="295">
        <v>1</v>
      </c>
      <c r="E35" s="295">
        <v>1</v>
      </c>
      <c r="F35" s="295">
        <v>1</v>
      </c>
      <c r="G35" s="295" t="s">
        <v>107</v>
      </c>
      <c r="H35" s="291">
        <v>8</v>
      </c>
    </row>
    <row r="36" spans="1:8" s="280" customFormat="1" ht="26.25" thickBot="1">
      <c r="A36" s="287" t="s">
        <v>393</v>
      </c>
      <c r="B36" s="295">
        <v>5</v>
      </c>
      <c r="C36" s="295">
        <v>2</v>
      </c>
      <c r="D36" s="295" t="s">
        <v>107</v>
      </c>
      <c r="E36" s="295">
        <v>1</v>
      </c>
      <c r="F36" s="295" t="s">
        <v>107</v>
      </c>
      <c r="G36" s="295" t="s">
        <v>107</v>
      </c>
      <c r="H36" s="291">
        <v>8</v>
      </c>
    </row>
    <row r="37" spans="1:8" s="280" customFormat="1" ht="26.25" thickBot="1">
      <c r="A37" s="287" t="s">
        <v>389</v>
      </c>
      <c r="B37" s="295">
        <v>4</v>
      </c>
      <c r="C37" s="295">
        <v>1</v>
      </c>
      <c r="D37" s="295" t="s">
        <v>107</v>
      </c>
      <c r="E37" s="295" t="s">
        <v>107</v>
      </c>
      <c r="F37" s="295" t="s">
        <v>107</v>
      </c>
      <c r="G37" s="295" t="s">
        <v>107</v>
      </c>
      <c r="H37" s="291">
        <v>5</v>
      </c>
    </row>
    <row r="38" spans="1:8" s="280" customFormat="1" ht="26.25" thickBot="1">
      <c r="A38" s="287" t="s">
        <v>386</v>
      </c>
      <c r="B38" s="295">
        <v>4</v>
      </c>
      <c r="C38" s="295">
        <v>1</v>
      </c>
      <c r="D38" s="295" t="s">
        <v>107</v>
      </c>
      <c r="E38" s="295" t="s">
        <v>107</v>
      </c>
      <c r="F38" s="295" t="s">
        <v>107</v>
      </c>
      <c r="G38" s="295" t="s">
        <v>107</v>
      </c>
      <c r="H38" s="291">
        <v>5</v>
      </c>
    </row>
    <row r="39" spans="1:8" s="280" customFormat="1" ht="26.25" thickBot="1">
      <c r="A39" s="287" t="s">
        <v>385</v>
      </c>
      <c r="B39" s="295">
        <v>4</v>
      </c>
      <c r="C39" s="295" t="s">
        <v>107</v>
      </c>
      <c r="D39" s="295" t="s">
        <v>107</v>
      </c>
      <c r="E39" s="295" t="s">
        <v>107</v>
      </c>
      <c r="F39" s="295" t="s">
        <v>107</v>
      </c>
      <c r="G39" s="295">
        <v>1</v>
      </c>
      <c r="H39" s="291">
        <v>5</v>
      </c>
    </row>
    <row r="40" spans="1:8" s="280" customFormat="1" ht="26.25" thickBot="1">
      <c r="A40" s="287" t="s">
        <v>394</v>
      </c>
      <c r="B40" s="295">
        <v>5</v>
      </c>
      <c r="C40" s="295" t="s">
        <v>107</v>
      </c>
      <c r="D40" s="295" t="s">
        <v>107</v>
      </c>
      <c r="E40" s="295" t="s">
        <v>107</v>
      </c>
      <c r="F40" s="295" t="s">
        <v>107</v>
      </c>
      <c r="G40" s="295" t="s">
        <v>107</v>
      </c>
      <c r="H40" s="291">
        <v>5</v>
      </c>
    </row>
    <row r="41" spans="1:8" s="280" customFormat="1" ht="26.25" thickBot="1">
      <c r="A41" s="287" t="s">
        <v>388</v>
      </c>
      <c r="B41" s="295">
        <v>4</v>
      </c>
      <c r="C41" s="295">
        <v>1</v>
      </c>
      <c r="D41" s="295" t="s">
        <v>107</v>
      </c>
      <c r="E41" s="295" t="s">
        <v>107</v>
      </c>
      <c r="F41" s="295" t="s">
        <v>107</v>
      </c>
      <c r="G41" s="295" t="s">
        <v>107</v>
      </c>
      <c r="H41" s="291">
        <v>5</v>
      </c>
    </row>
    <row r="42" spans="1:8" s="280" customFormat="1" ht="26.25" thickBot="1">
      <c r="A42" s="287" t="s">
        <v>387</v>
      </c>
      <c r="B42" s="295">
        <v>4</v>
      </c>
      <c r="C42" s="295" t="s">
        <v>107</v>
      </c>
      <c r="D42" s="295" t="s">
        <v>107</v>
      </c>
      <c r="E42" s="295" t="s">
        <v>107</v>
      </c>
      <c r="F42" s="295" t="s">
        <v>107</v>
      </c>
      <c r="G42" s="295" t="s">
        <v>107</v>
      </c>
      <c r="H42" s="291">
        <v>4</v>
      </c>
    </row>
    <row r="43" spans="1:8" s="280" customFormat="1" ht="26.25" thickBot="1">
      <c r="A43" s="287" t="s">
        <v>382</v>
      </c>
      <c r="B43" s="295" t="s">
        <v>107</v>
      </c>
      <c r="C43" s="295" t="s">
        <v>107</v>
      </c>
      <c r="D43" s="295" t="s">
        <v>107</v>
      </c>
      <c r="E43" s="295" t="s">
        <v>107</v>
      </c>
      <c r="F43" s="295">
        <v>1</v>
      </c>
      <c r="G43" s="295" t="s">
        <v>107</v>
      </c>
      <c r="H43" s="291">
        <v>1</v>
      </c>
    </row>
    <row r="44" spans="1:8" s="280" customFormat="1" ht="26.25" thickBot="1">
      <c r="A44" s="287" t="s">
        <v>395</v>
      </c>
      <c r="B44" s="295" t="s">
        <v>107</v>
      </c>
      <c r="C44" s="295">
        <v>1</v>
      </c>
      <c r="D44" s="295" t="s">
        <v>107</v>
      </c>
      <c r="E44" s="295" t="s">
        <v>107</v>
      </c>
      <c r="F44" s="295" t="s">
        <v>107</v>
      </c>
      <c r="G44" s="295" t="s">
        <v>107</v>
      </c>
      <c r="H44" s="291">
        <v>1</v>
      </c>
    </row>
    <row r="45" spans="1:8" s="280" customFormat="1" ht="26.25" thickBot="1">
      <c r="A45" s="282" t="s">
        <v>34</v>
      </c>
      <c r="B45" s="294">
        <v>197</v>
      </c>
      <c r="C45" s="294">
        <v>65</v>
      </c>
      <c r="D45" s="294">
        <v>31</v>
      </c>
      <c r="E45" s="294">
        <v>22</v>
      </c>
      <c r="F45" s="294">
        <v>20</v>
      </c>
      <c r="G45" s="294">
        <v>4</v>
      </c>
      <c r="H45" s="291">
        <f>SUM(B45:G45)</f>
        <v>339</v>
      </c>
    </row>
    <row r="47" spans="1:8" s="2" customFormat="1" ht="45" customHeight="1">
      <c r="A47" s="399" t="s">
        <v>54</v>
      </c>
      <c r="B47" s="399"/>
      <c r="C47" s="399"/>
    </row>
  </sheetData>
  <mergeCells count="3">
    <mergeCell ref="A1:N1"/>
    <mergeCell ref="A23:N23"/>
    <mergeCell ref="A47:C4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49"/>
  <sheetViews>
    <sheetView rightToLeft="1" workbookViewId="0">
      <selection activeCell="A24" sqref="A24:XFD24"/>
    </sheetView>
  </sheetViews>
  <sheetFormatPr defaultColWidth="9.140625" defaultRowHeight="15"/>
  <cols>
    <col min="1" max="1" width="59.7109375" style="281" bestFit="1" customWidth="1"/>
    <col min="2" max="3" width="23.42578125" style="281" customWidth="1"/>
    <col min="4" max="4" width="14" style="281" customWidth="1"/>
    <col min="5" max="5" width="18.5703125" style="281" customWidth="1"/>
    <col min="6" max="6" width="23.42578125" style="281" customWidth="1"/>
    <col min="7" max="7" width="40.7109375" style="281" customWidth="1"/>
    <col min="8" max="8" width="24.42578125" style="281" customWidth="1"/>
    <col min="9" max="9" width="21.42578125" style="281" customWidth="1"/>
    <col min="10" max="10" width="23" style="281" customWidth="1"/>
    <col min="11" max="16384" width="9.140625" style="281"/>
  </cols>
  <sheetData>
    <row r="1" spans="1:11" s="307" customFormat="1" ht="53.25" customHeight="1">
      <c r="A1" s="388" t="s">
        <v>405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s="279" customFormat="1" ht="16.5" thickBot="1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1" s="280" customFormat="1" ht="62.25" customHeight="1">
      <c r="A3" s="417" t="s">
        <v>410</v>
      </c>
      <c r="B3" s="434" t="s">
        <v>253</v>
      </c>
      <c r="C3" s="434"/>
      <c r="D3" s="434" t="s">
        <v>254</v>
      </c>
      <c r="E3" s="434" t="s">
        <v>255</v>
      </c>
      <c r="F3" s="434" t="s">
        <v>256</v>
      </c>
      <c r="G3" s="434" t="s">
        <v>257</v>
      </c>
      <c r="H3" s="434" t="s">
        <v>258</v>
      </c>
      <c r="I3" s="434" t="s">
        <v>259</v>
      </c>
      <c r="J3" s="434"/>
      <c r="K3" s="434" t="s">
        <v>34</v>
      </c>
    </row>
    <row r="4" spans="1:11" s="280" customFormat="1" ht="48" customHeight="1" thickBot="1">
      <c r="A4" s="418"/>
      <c r="B4" s="140" t="s">
        <v>260</v>
      </c>
      <c r="C4" s="140" t="s">
        <v>261</v>
      </c>
      <c r="D4" s="434"/>
      <c r="E4" s="434"/>
      <c r="F4" s="434"/>
      <c r="G4" s="434"/>
      <c r="H4" s="434"/>
      <c r="I4" s="140" t="s">
        <v>260</v>
      </c>
      <c r="J4" s="140" t="s">
        <v>261</v>
      </c>
      <c r="K4" s="434"/>
    </row>
    <row r="5" spans="1:11" s="280" customFormat="1" ht="39.950000000000003" customHeight="1" thickBot="1">
      <c r="A5" s="286" t="s">
        <v>377</v>
      </c>
      <c r="B5" s="308">
        <v>11</v>
      </c>
      <c r="C5" s="308">
        <v>23</v>
      </c>
      <c r="D5" s="308">
        <v>15</v>
      </c>
      <c r="E5" s="308">
        <v>25</v>
      </c>
      <c r="F5" s="308">
        <v>9</v>
      </c>
      <c r="G5" s="308">
        <v>9</v>
      </c>
      <c r="H5" s="308">
        <v>5</v>
      </c>
      <c r="I5" s="308">
        <v>1</v>
      </c>
      <c r="J5" s="308">
        <v>6</v>
      </c>
      <c r="K5" s="309">
        <v>104</v>
      </c>
    </row>
    <row r="6" spans="1:11" s="280" customFormat="1" ht="39.950000000000003" customHeight="1" thickBot="1">
      <c r="A6" s="287" t="s">
        <v>374</v>
      </c>
      <c r="B6" s="308">
        <v>10</v>
      </c>
      <c r="C6" s="308">
        <v>13</v>
      </c>
      <c r="D6" s="308">
        <v>22</v>
      </c>
      <c r="E6" s="308">
        <v>1</v>
      </c>
      <c r="F6" s="308">
        <v>8</v>
      </c>
      <c r="G6" s="308">
        <v>2</v>
      </c>
      <c r="H6" s="308">
        <v>2</v>
      </c>
      <c r="I6" s="308">
        <v>1</v>
      </c>
      <c r="J6" s="308">
        <v>3</v>
      </c>
      <c r="K6" s="309">
        <v>62</v>
      </c>
    </row>
    <row r="7" spans="1:11" s="280" customFormat="1" ht="39.950000000000003" customHeight="1" thickBot="1">
      <c r="A7" s="287" t="s">
        <v>375</v>
      </c>
      <c r="B7" s="308">
        <v>4</v>
      </c>
      <c r="C7" s="308">
        <v>15</v>
      </c>
      <c r="D7" s="308">
        <v>11</v>
      </c>
      <c r="E7" s="308">
        <v>1</v>
      </c>
      <c r="F7" s="308">
        <v>3</v>
      </c>
      <c r="G7" s="308">
        <v>3</v>
      </c>
      <c r="H7" s="308">
        <v>1</v>
      </c>
      <c r="I7" s="308" t="s">
        <v>107</v>
      </c>
      <c r="J7" s="308" t="s">
        <v>107</v>
      </c>
      <c r="K7" s="309">
        <v>38</v>
      </c>
    </row>
    <row r="8" spans="1:11" s="280" customFormat="1" ht="39.950000000000003" customHeight="1" thickBot="1">
      <c r="A8" s="287" t="s">
        <v>376</v>
      </c>
      <c r="B8" s="308">
        <v>5</v>
      </c>
      <c r="C8" s="308">
        <v>9</v>
      </c>
      <c r="D8" s="308">
        <v>5</v>
      </c>
      <c r="E8" s="308">
        <v>2</v>
      </c>
      <c r="F8" s="308">
        <v>2</v>
      </c>
      <c r="G8" s="308">
        <v>1</v>
      </c>
      <c r="H8" s="308">
        <v>2</v>
      </c>
      <c r="I8" s="308" t="s">
        <v>107</v>
      </c>
      <c r="J8" s="308" t="s">
        <v>107</v>
      </c>
      <c r="K8" s="309">
        <v>26</v>
      </c>
    </row>
    <row r="9" spans="1:11" s="280" customFormat="1" ht="39.950000000000003" customHeight="1" thickBot="1">
      <c r="A9" s="287" t="s">
        <v>378</v>
      </c>
      <c r="B9" s="308">
        <v>2</v>
      </c>
      <c r="C9" s="308">
        <v>8</v>
      </c>
      <c r="D9" s="308">
        <v>5</v>
      </c>
      <c r="E9" s="308" t="s">
        <v>107</v>
      </c>
      <c r="F9" s="308">
        <v>3</v>
      </c>
      <c r="G9" s="308">
        <v>2</v>
      </c>
      <c r="H9" s="308">
        <v>1</v>
      </c>
      <c r="I9" s="308" t="s">
        <v>107</v>
      </c>
      <c r="J9" s="308">
        <v>1</v>
      </c>
      <c r="K9" s="309">
        <v>22</v>
      </c>
    </row>
    <row r="10" spans="1:11" s="280" customFormat="1" ht="39.950000000000003" customHeight="1" thickBot="1">
      <c r="A10" s="287" t="s">
        <v>379</v>
      </c>
      <c r="B10" s="308">
        <v>2</v>
      </c>
      <c r="C10" s="308">
        <v>11</v>
      </c>
      <c r="D10" s="308">
        <v>4</v>
      </c>
      <c r="E10" s="308" t="s">
        <v>107</v>
      </c>
      <c r="F10" s="308">
        <v>2</v>
      </c>
      <c r="G10" s="308" t="s">
        <v>107</v>
      </c>
      <c r="H10" s="308">
        <v>1</v>
      </c>
      <c r="I10" s="308" t="s">
        <v>107</v>
      </c>
      <c r="J10" s="308" t="s">
        <v>107</v>
      </c>
      <c r="K10" s="309">
        <v>20</v>
      </c>
    </row>
    <row r="11" spans="1:11" s="280" customFormat="1" ht="39.950000000000003" customHeight="1" thickBot="1">
      <c r="A11" s="287" t="s">
        <v>380</v>
      </c>
      <c r="B11" s="308">
        <v>1</v>
      </c>
      <c r="C11" s="308">
        <v>3</v>
      </c>
      <c r="D11" s="308">
        <v>2</v>
      </c>
      <c r="E11" s="308">
        <v>7</v>
      </c>
      <c r="F11" s="308">
        <v>2</v>
      </c>
      <c r="G11" s="308" t="s">
        <v>107</v>
      </c>
      <c r="H11" s="308">
        <v>2</v>
      </c>
      <c r="I11" s="308" t="s">
        <v>107</v>
      </c>
      <c r="J11" s="308" t="s">
        <v>107</v>
      </c>
      <c r="K11" s="309">
        <v>17</v>
      </c>
    </row>
    <row r="12" spans="1:11" s="280" customFormat="1" ht="39.950000000000003" customHeight="1" thickBot="1">
      <c r="A12" s="287" t="s">
        <v>381</v>
      </c>
      <c r="B12" s="308" t="s">
        <v>107</v>
      </c>
      <c r="C12" s="308">
        <v>3</v>
      </c>
      <c r="D12" s="308">
        <v>4</v>
      </c>
      <c r="E12" s="308">
        <v>2</v>
      </c>
      <c r="F12" s="308">
        <v>1</v>
      </c>
      <c r="G12" s="308">
        <v>2</v>
      </c>
      <c r="H12" s="308" t="s">
        <v>107</v>
      </c>
      <c r="I12" s="308" t="s">
        <v>107</v>
      </c>
      <c r="J12" s="308" t="s">
        <v>107</v>
      </c>
      <c r="K12" s="309">
        <v>12</v>
      </c>
    </row>
    <row r="13" spans="1:11" s="280" customFormat="1" ht="39.950000000000003" customHeight="1" thickBot="1">
      <c r="A13" s="287" t="s">
        <v>382</v>
      </c>
      <c r="B13" s="308">
        <v>1</v>
      </c>
      <c r="C13" s="308">
        <v>2</v>
      </c>
      <c r="D13" s="308">
        <v>3</v>
      </c>
      <c r="E13" s="308">
        <v>3</v>
      </c>
      <c r="F13" s="308">
        <v>1</v>
      </c>
      <c r="G13" s="308" t="s">
        <v>107</v>
      </c>
      <c r="H13" s="308" t="s">
        <v>107</v>
      </c>
      <c r="I13" s="308" t="s">
        <v>107</v>
      </c>
      <c r="J13" s="308" t="s">
        <v>107</v>
      </c>
      <c r="K13" s="309">
        <v>10</v>
      </c>
    </row>
    <row r="14" spans="1:11" s="280" customFormat="1" ht="39.950000000000003" customHeight="1" thickBot="1">
      <c r="A14" s="287" t="s">
        <v>383</v>
      </c>
      <c r="B14" s="308">
        <v>3</v>
      </c>
      <c r="C14" s="308">
        <v>2</v>
      </c>
      <c r="D14" s="308">
        <v>4</v>
      </c>
      <c r="E14" s="308" t="s">
        <v>107</v>
      </c>
      <c r="F14" s="308">
        <v>1</v>
      </c>
      <c r="G14" s="308" t="s">
        <v>107</v>
      </c>
      <c r="H14" s="308" t="s">
        <v>107</v>
      </c>
      <c r="I14" s="308" t="s">
        <v>107</v>
      </c>
      <c r="J14" s="308" t="s">
        <v>107</v>
      </c>
      <c r="K14" s="309">
        <v>10</v>
      </c>
    </row>
    <row r="15" spans="1:11" s="280" customFormat="1" ht="39.950000000000003" customHeight="1" thickBot="1">
      <c r="A15" s="287" t="s">
        <v>384</v>
      </c>
      <c r="B15" s="308">
        <v>1</v>
      </c>
      <c r="C15" s="308">
        <v>3</v>
      </c>
      <c r="D15" s="308" t="s">
        <v>107</v>
      </c>
      <c r="E15" s="308">
        <v>3</v>
      </c>
      <c r="F15" s="308" t="s">
        <v>107</v>
      </c>
      <c r="G15" s="308" t="s">
        <v>107</v>
      </c>
      <c r="H15" s="308">
        <v>2</v>
      </c>
      <c r="I15" s="308" t="s">
        <v>107</v>
      </c>
      <c r="J15" s="308" t="s">
        <v>107</v>
      </c>
      <c r="K15" s="309">
        <v>9</v>
      </c>
    </row>
    <row r="16" spans="1:11" s="280" customFormat="1" ht="39.950000000000003" customHeight="1" thickBot="1">
      <c r="A16" s="287" t="s">
        <v>385</v>
      </c>
      <c r="B16" s="308" t="s">
        <v>107</v>
      </c>
      <c r="C16" s="308" t="s">
        <v>107</v>
      </c>
      <c r="D16" s="308">
        <v>1</v>
      </c>
      <c r="E16" s="308">
        <v>3</v>
      </c>
      <c r="F16" s="308">
        <v>3</v>
      </c>
      <c r="G16" s="308">
        <v>1</v>
      </c>
      <c r="H16" s="308" t="s">
        <v>107</v>
      </c>
      <c r="I16" s="308" t="s">
        <v>107</v>
      </c>
      <c r="J16" s="308" t="s">
        <v>107</v>
      </c>
      <c r="K16" s="309">
        <v>8</v>
      </c>
    </row>
    <row r="17" spans="1:11" s="280" customFormat="1" ht="39.950000000000003" customHeight="1" thickBot="1">
      <c r="A17" s="287" t="s">
        <v>386</v>
      </c>
      <c r="B17" s="308" t="s">
        <v>107</v>
      </c>
      <c r="C17" s="308" t="s">
        <v>107</v>
      </c>
      <c r="D17" s="308" t="s">
        <v>107</v>
      </c>
      <c r="E17" s="308">
        <v>3</v>
      </c>
      <c r="F17" s="308">
        <v>1</v>
      </c>
      <c r="G17" s="308">
        <v>1</v>
      </c>
      <c r="H17" s="308" t="s">
        <v>107</v>
      </c>
      <c r="I17" s="308" t="s">
        <v>107</v>
      </c>
      <c r="J17" s="308" t="s">
        <v>107</v>
      </c>
      <c r="K17" s="309">
        <v>5</v>
      </c>
    </row>
    <row r="18" spans="1:11" s="280" customFormat="1" ht="39.950000000000003" customHeight="1" thickBot="1">
      <c r="A18" s="287" t="s">
        <v>387</v>
      </c>
      <c r="B18" s="308" t="s">
        <v>107</v>
      </c>
      <c r="C18" s="308" t="s">
        <v>107</v>
      </c>
      <c r="D18" s="308" t="s">
        <v>107</v>
      </c>
      <c r="E18" s="308">
        <v>4</v>
      </c>
      <c r="F18" s="308" t="s">
        <v>107</v>
      </c>
      <c r="G18" s="308" t="s">
        <v>107</v>
      </c>
      <c r="H18" s="308" t="s">
        <v>107</v>
      </c>
      <c r="I18" s="308" t="s">
        <v>107</v>
      </c>
      <c r="J18" s="308" t="s">
        <v>107</v>
      </c>
      <c r="K18" s="309">
        <v>4</v>
      </c>
    </row>
    <row r="19" spans="1:11" s="280" customFormat="1" ht="39.950000000000003" customHeight="1" thickBot="1">
      <c r="A19" s="287" t="s">
        <v>388</v>
      </c>
      <c r="B19" s="308" t="s">
        <v>107</v>
      </c>
      <c r="C19" s="308">
        <v>1</v>
      </c>
      <c r="D19" s="308">
        <v>1</v>
      </c>
      <c r="E19" s="308">
        <v>1</v>
      </c>
      <c r="F19" s="308" t="s">
        <v>107</v>
      </c>
      <c r="G19" s="308">
        <v>1</v>
      </c>
      <c r="H19" s="308" t="s">
        <v>107</v>
      </c>
      <c r="I19" s="308" t="s">
        <v>107</v>
      </c>
      <c r="J19" s="308" t="s">
        <v>107</v>
      </c>
      <c r="K19" s="309">
        <v>4</v>
      </c>
    </row>
    <row r="20" spans="1:11" s="280" customFormat="1" ht="39.950000000000003" customHeight="1" thickBot="1">
      <c r="A20" s="287" t="s">
        <v>389</v>
      </c>
      <c r="B20" s="308" t="s">
        <v>107</v>
      </c>
      <c r="C20" s="308" t="s">
        <v>107</v>
      </c>
      <c r="D20" s="308">
        <v>1</v>
      </c>
      <c r="E20" s="308" t="s">
        <v>107</v>
      </c>
      <c r="F20" s="308" t="s">
        <v>107</v>
      </c>
      <c r="G20" s="308">
        <v>2</v>
      </c>
      <c r="H20" s="308" t="s">
        <v>107</v>
      </c>
      <c r="I20" s="308" t="s">
        <v>107</v>
      </c>
      <c r="J20" s="308" t="s">
        <v>107</v>
      </c>
      <c r="K20" s="309">
        <v>3</v>
      </c>
    </row>
    <row r="21" spans="1:11" s="280" customFormat="1" ht="39.950000000000003" customHeight="1" thickBot="1">
      <c r="A21" s="287" t="s">
        <v>390</v>
      </c>
      <c r="B21" s="308">
        <v>1</v>
      </c>
      <c r="C21" s="308">
        <v>1</v>
      </c>
      <c r="D21" s="308" t="s">
        <v>107</v>
      </c>
      <c r="E21" s="308" t="s">
        <v>107</v>
      </c>
      <c r="F21" s="308">
        <v>1</v>
      </c>
      <c r="G21" s="308" t="s">
        <v>107</v>
      </c>
      <c r="H21" s="308" t="s">
        <v>107</v>
      </c>
      <c r="I21" s="308" t="s">
        <v>107</v>
      </c>
      <c r="J21" s="308" t="s">
        <v>107</v>
      </c>
      <c r="K21" s="309">
        <v>3</v>
      </c>
    </row>
    <row r="22" spans="1:11" s="280" customFormat="1" ht="39.950000000000003" customHeight="1" thickBot="1">
      <c r="A22" s="282" t="s">
        <v>422</v>
      </c>
      <c r="B22" s="310">
        <v>41</v>
      </c>
      <c r="C22" s="310">
        <v>94</v>
      </c>
      <c r="D22" s="310">
        <v>78</v>
      </c>
      <c r="E22" s="310">
        <v>55</v>
      </c>
      <c r="F22" s="310">
        <v>37</v>
      </c>
      <c r="G22" s="310">
        <v>24</v>
      </c>
      <c r="H22" s="310">
        <v>16</v>
      </c>
      <c r="I22" s="310">
        <v>2</v>
      </c>
      <c r="J22" s="310">
        <v>10</v>
      </c>
      <c r="K22" s="309">
        <f>SUM(B22:J22)</f>
        <v>357</v>
      </c>
    </row>
    <row r="23" spans="1:11" s="280" customFormat="1"/>
    <row r="24" spans="1:11" s="307" customFormat="1" ht="53.25" customHeight="1">
      <c r="A24" s="388" t="s">
        <v>423</v>
      </c>
      <c r="B24" s="388"/>
      <c r="C24" s="388"/>
      <c r="D24" s="388"/>
      <c r="E24" s="388"/>
      <c r="F24" s="388"/>
      <c r="G24" s="388"/>
      <c r="H24" s="388"/>
      <c r="I24" s="388"/>
      <c r="J24" s="388"/>
      <c r="K24" s="388"/>
    </row>
    <row r="25" spans="1:11" s="279" customFormat="1" ht="16.5" thickBot="1">
      <c r="A25" s="306"/>
      <c r="B25" s="306"/>
      <c r="C25" s="306"/>
      <c r="D25" s="306"/>
      <c r="E25" s="306"/>
      <c r="F25" s="306"/>
      <c r="G25" s="306"/>
      <c r="H25" s="306"/>
      <c r="I25" s="306"/>
      <c r="J25" s="306"/>
      <c r="K25" s="306"/>
    </row>
    <row r="26" spans="1:11" s="280" customFormat="1" ht="62.25" customHeight="1">
      <c r="A26" s="417" t="s">
        <v>410</v>
      </c>
      <c r="B26" s="434" t="s">
        <v>253</v>
      </c>
      <c r="C26" s="434"/>
      <c r="D26" s="434" t="s">
        <v>254</v>
      </c>
      <c r="E26" s="434" t="s">
        <v>255</v>
      </c>
      <c r="F26" s="434" t="s">
        <v>256</v>
      </c>
      <c r="G26" s="434" t="s">
        <v>257</v>
      </c>
      <c r="H26" s="434" t="s">
        <v>258</v>
      </c>
      <c r="I26" s="434" t="s">
        <v>259</v>
      </c>
      <c r="J26" s="434"/>
      <c r="K26" s="434" t="s">
        <v>34</v>
      </c>
    </row>
    <row r="27" spans="1:11" s="280" customFormat="1" ht="48" customHeight="1" thickBot="1">
      <c r="A27" s="418"/>
      <c r="B27" s="140" t="s">
        <v>260</v>
      </c>
      <c r="C27" s="140" t="s">
        <v>261</v>
      </c>
      <c r="D27" s="434"/>
      <c r="E27" s="434"/>
      <c r="F27" s="434"/>
      <c r="G27" s="434"/>
      <c r="H27" s="434"/>
      <c r="I27" s="140" t="s">
        <v>260</v>
      </c>
      <c r="J27" s="140" t="s">
        <v>261</v>
      </c>
      <c r="K27" s="434"/>
    </row>
    <row r="28" spans="1:11" s="280" customFormat="1" ht="26.25" thickBot="1">
      <c r="A28" s="286" t="s">
        <v>392</v>
      </c>
      <c r="B28" s="295">
        <v>11</v>
      </c>
      <c r="C28" s="295">
        <v>18</v>
      </c>
      <c r="D28" s="295">
        <v>15</v>
      </c>
      <c r="E28" s="295">
        <v>43</v>
      </c>
      <c r="F28" s="295">
        <v>4</v>
      </c>
      <c r="G28" s="295">
        <v>1</v>
      </c>
      <c r="H28" s="295">
        <v>5</v>
      </c>
      <c r="I28" s="295" t="s">
        <v>107</v>
      </c>
      <c r="J28" s="295">
        <v>2</v>
      </c>
      <c r="K28" s="311">
        <v>99</v>
      </c>
    </row>
    <row r="29" spans="1:11" s="280" customFormat="1" ht="26.25" thickBot="1">
      <c r="A29" s="287" t="s">
        <v>374</v>
      </c>
      <c r="B29" s="295">
        <v>8</v>
      </c>
      <c r="C29" s="295">
        <v>20</v>
      </c>
      <c r="D29" s="295">
        <v>21</v>
      </c>
      <c r="E29" s="295" t="s">
        <v>107</v>
      </c>
      <c r="F29" s="295">
        <v>3</v>
      </c>
      <c r="G29" s="295" t="s">
        <v>107</v>
      </c>
      <c r="H29" s="295">
        <v>3</v>
      </c>
      <c r="I29" s="295">
        <v>1</v>
      </c>
      <c r="J29" s="295">
        <v>1</v>
      </c>
      <c r="K29" s="296">
        <v>57</v>
      </c>
    </row>
    <row r="30" spans="1:11" s="280" customFormat="1" ht="26.25" thickBot="1">
      <c r="A30" s="287" t="s">
        <v>375</v>
      </c>
      <c r="B30" s="295">
        <v>10</v>
      </c>
      <c r="C30" s="295">
        <v>8</v>
      </c>
      <c r="D30" s="295">
        <v>9</v>
      </c>
      <c r="E30" s="295" t="s">
        <v>107</v>
      </c>
      <c r="F30" s="295">
        <v>3</v>
      </c>
      <c r="G30" s="295">
        <v>1</v>
      </c>
      <c r="H30" s="295">
        <v>1</v>
      </c>
      <c r="I30" s="295" t="s">
        <v>107</v>
      </c>
      <c r="J30" s="295" t="s">
        <v>107</v>
      </c>
      <c r="K30" s="296">
        <v>32</v>
      </c>
    </row>
    <row r="31" spans="1:11" s="280" customFormat="1" ht="26.25" thickBot="1">
      <c r="A31" s="287" t="s">
        <v>378</v>
      </c>
      <c r="B31" s="295">
        <v>3</v>
      </c>
      <c r="C31" s="295">
        <v>11</v>
      </c>
      <c r="D31" s="295">
        <v>6</v>
      </c>
      <c r="E31" s="295" t="s">
        <v>107</v>
      </c>
      <c r="F31" s="295">
        <v>2</v>
      </c>
      <c r="G31" s="295">
        <v>1</v>
      </c>
      <c r="H31" s="295">
        <v>3</v>
      </c>
      <c r="I31" s="295" t="s">
        <v>107</v>
      </c>
      <c r="J31" s="295">
        <v>2</v>
      </c>
      <c r="K31" s="296">
        <v>28</v>
      </c>
    </row>
    <row r="32" spans="1:11" s="280" customFormat="1" ht="26.25" thickBot="1">
      <c r="A32" s="287" t="s">
        <v>379</v>
      </c>
      <c r="B32" s="295">
        <v>2</v>
      </c>
      <c r="C32" s="295">
        <v>7</v>
      </c>
      <c r="D32" s="295">
        <v>5</v>
      </c>
      <c r="E32" s="295" t="s">
        <v>107</v>
      </c>
      <c r="F32" s="295">
        <v>2</v>
      </c>
      <c r="G32" s="295">
        <v>2</v>
      </c>
      <c r="H32" s="295">
        <v>6</v>
      </c>
      <c r="I32" s="295" t="s">
        <v>107</v>
      </c>
      <c r="J32" s="295">
        <v>1</v>
      </c>
      <c r="K32" s="296">
        <v>25</v>
      </c>
    </row>
    <row r="33" spans="1:11" s="280" customFormat="1" ht="26.25" thickBot="1">
      <c r="A33" s="287" t="s">
        <v>376</v>
      </c>
      <c r="B33" s="295">
        <v>2</v>
      </c>
      <c r="C33" s="295">
        <v>2</v>
      </c>
      <c r="D33" s="295">
        <v>4</v>
      </c>
      <c r="E33" s="295">
        <v>2</v>
      </c>
      <c r="F33" s="295" t="s">
        <v>107</v>
      </c>
      <c r="G33" s="295">
        <v>1</v>
      </c>
      <c r="H33" s="295">
        <v>2</v>
      </c>
      <c r="I33" s="295">
        <v>1</v>
      </c>
      <c r="J33" s="295">
        <v>1</v>
      </c>
      <c r="K33" s="296">
        <v>15</v>
      </c>
    </row>
    <row r="34" spans="1:11" s="280" customFormat="1" ht="26.25" thickBot="1">
      <c r="A34" s="287" t="s">
        <v>384</v>
      </c>
      <c r="B34" s="295">
        <v>1</v>
      </c>
      <c r="C34" s="295">
        <v>2</v>
      </c>
      <c r="D34" s="295">
        <v>2</v>
      </c>
      <c r="E34" s="295">
        <v>6</v>
      </c>
      <c r="F34" s="295">
        <v>3</v>
      </c>
      <c r="G34" s="295" t="s">
        <v>107</v>
      </c>
      <c r="H34" s="295" t="s">
        <v>107</v>
      </c>
      <c r="I34" s="295" t="s">
        <v>107</v>
      </c>
      <c r="J34" s="295" t="s">
        <v>107</v>
      </c>
      <c r="K34" s="296">
        <v>14</v>
      </c>
    </row>
    <row r="35" spans="1:11" s="280" customFormat="1" ht="26.25" thickBot="1">
      <c r="A35" s="287" t="s">
        <v>381</v>
      </c>
      <c r="B35" s="295" t="s">
        <v>107</v>
      </c>
      <c r="C35" s="295">
        <v>3</v>
      </c>
      <c r="D35" s="295" t="s">
        <v>107</v>
      </c>
      <c r="E35" s="295">
        <v>4</v>
      </c>
      <c r="F35" s="295">
        <v>3</v>
      </c>
      <c r="G35" s="295" t="s">
        <v>107</v>
      </c>
      <c r="H35" s="295">
        <v>2</v>
      </c>
      <c r="I35" s="295" t="s">
        <v>107</v>
      </c>
      <c r="J35" s="295">
        <v>1</v>
      </c>
      <c r="K35" s="296">
        <v>13</v>
      </c>
    </row>
    <row r="36" spans="1:11" s="280" customFormat="1" ht="26.25" thickBot="1">
      <c r="A36" s="287" t="s">
        <v>380</v>
      </c>
      <c r="B36" s="295" t="s">
        <v>107</v>
      </c>
      <c r="C36" s="295">
        <v>2</v>
      </c>
      <c r="D36" s="295" t="s">
        <v>107</v>
      </c>
      <c r="E36" s="295">
        <v>5</v>
      </c>
      <c r="F36" s="295">
        <v>1</v>
      </c>
      <c r="G36" s="295">
        <v>1</v>
      </c>
      <c r="H36" s="295" t="s">
        <v>107</v>
      </c>
      <c r="I36" s="295" t="s">
        <v>107</v>
      </c>
      <c r="J36" s="295" t="s">
        <v>107</v>
      </c>
      <c r="K36" s="296">
        <v>9</v>
      </c>
    </row>
    <row r="37" spans="1:11" s="280" customFormat="1" ht="26.25" thickBot="1">
      <c r="A37" s="287" t="s">
        <v>390</v>
      </c>
      <c r="B37" s="295">
        <v>3</v>
      </c>
      <c r="C37" s="295">
        <v>3</v>
      </c>
      <c r="D37" s="295">
        <v>1</v>
      </c>
      <c r="E37" s="295" t="s">
        <v>107</v>
      </c>
      <c r="F37" s="295">
        <v>1</v>
      </c>
      <c r="G37" s="295" t="s">
        <v>107</v>
      </c>
      <c r="H37" s="295" t="s">
        <v>107</v>
      </c>
      <c r="I37" s="295" t="s">
        <v>107</v>
      </c>
      <c r="J37" s="295" t="s">
        <v>107</v>
      </c>
      <c r="K37" s="296">
        <v>8</v>
      </c>
    </row>
    <row r="38" spans="1:11" s="280" customFormat="1" ht="26.25" thickBot="1">
      <c r="A38" s="287" t="s">
        <v>393</v>
      </c>
      <c r="B38" s="295">
        <v>3</v>
      </c>
      <c r="C38" s="295">
        <v>4</v>
      </c>
      <c r="D38" s="295">
        <v>1</v>
      </c>
      <c r="E38" s="295" t="s">
        <v>107</v>
      </c>
      <c r="F38" s="295" t="s">
        <v>107</v>
      </c>
      <c r="G38" s="295" t="s">
        <v>107</v>
      </c>
      <c r="H38" s="295" t="s">
        <v>107</v>
      </c>
      <c r="I38" s="295" t="s">
        <v>107</v>
      </c>
      <c r="J38" s="295" t="s">
        <v>107</v>
      </c>
      <c r="K38" s="296">
        <v>8</v>
      </c>
    </row>
    <row r="39" spans="1:11" s="280" customFormat="1" ht="26.25" thickBot="1">
      <c r="A39" s="287" t="s">
        <v>389</v>
      </c>
      <c r="B39" s="295" t="s">
        <v>107</v>
      </c>
      <c r="C39" s="295">
        <v>4</v>
      </c>
      <c r="D39" s="295" t="s">
        <v>107</v>
      </c>
      <c r="E39" s="295" t="s">
        <v>107</v>
      </c>
      <c r="F39" s="295">
        <v>1</v>
      </c>
      <c r="G39" s="295" t="s">
        <v>107</v>
      </c>
      <c r="H39" s="295" t="s">
        <v>107</v>
      </c>
      <c r="I39" s="295" t="s">
        <v>107</v>
      </c>
      <c r="J39" s="295" t="s">
        <v>107</v>
      </c>
      <c r="K39" s="296">
        <v>5</v>
      </c>
    </row>
    <row r="40" spans="1:11" s="280" customFormat="1" ht="26.25" thickBot="1">
      <c r="A40" s="287" t="s">
        <v>386</v>
      </c>
      <c r="B40" s="295" t="s">
        <v>107</v>
      </c>
      <c r="C40" s="295" t="s">
        <v>107</v>
      </c>
      <c r="D40" s="295" t="s">
        <v>107</v>
      </c>
      <c r="E40" s="295">
        <v>3</v>
      </c>
      <c r="F40" s="295">
        <v>1</v>
      </c>
      <c r="G40" s="295">
        <v>1</v>
      </c>
      <c r="H40" s="295" t="s">
        <v>107</v>
      </c>
      <c r="I40" s="295" t="s">
        <v>107</v>
      </c>
      <c r="J40" s="295" t="s">
        <v>107</v>
      </c>
      <c r="K40" s="296">
        <v>5</v>
      </c>
    </row>
    <row r="41" spans="1:11" s="280" customFormat="1" ht="26.25" thickBot="1">
      <c r="A41" s="287" t="s">
        <v>385</v>
      </c>
      <c r="B41" s="295" t="s">
        <v>107</v>
      </c>
      <c r="C41" s="295" t="s">
        <v>107</v>
      </c>
      <c r="D41" s="295" t="s">
        <v>107</v>
      </c>
      <c r="E41" s="295">
        <v>5</v>
      </c>
      <c r="F41" s="295" t="s">
        <v>107</v>
      </c>
      <c r="G41" s="295" t="s">
        <v>107</v>
      </c>
      <c r="H41" s="295" t="s">
        <v>107</v>
      </c>
      <c r="I41" s="295" t="s">
        <v>107</v>
      </c>
      <c r="J41" s="295" t="s">
        <v>107</v>
      </c>
      <c r="K41" s="296">
        <v>5</v>
      </c>
    </row>
    <row r="42" spans="1:11" s="280" customFormat="1" ht="26.25" thickBot="1">
      <c r="A42" s="287" t="s">
        <v>394</v>
      </c>
      <c r="B42" s="295" t="s">
        <v>107</v>
      </c>
      <c r="C42" s="295" t="s">
        <v>107</v>
      </c>
      <c r="D42" s="295" t="s">
        <v>107</v>
      </c>
      <c r="E42" s="295">
        <v>3</v>
      </c>
      <c r="F42" s="295">
        <v>2</v>
      </c>
      <c r="G42" s="295" t="s">
        <v>107</v>
      </c>
      <c r="H42" s="295" t="s">
        <v>107</v>
      </c>
      <c r="I42" s="295" t="s">
        <v>107</v>
      </c>
      <c r="J42" s="295" t="s">
        <v>107</v>
      </c>
      <c r="K42" s="296">
        <v>5</v>
      </c>
    </row>
    <row r="43" spans="1:11" s="280" customFormat="1" ht="26.25" thickBot="1">
      <c r="A43" s="287" t="s">
        <v>388</v>
      </c>
      <c r="B43" s="295" t="s">
        <v>107</v>
      </c>
      <c r="C43" s="295">
        <v>3</v>
      </c>
      <c r="D43" s="295">
        <v>1</v>
      </c>
      <c r="E43" s="295">
        <v>1</v>
      </c>
      <c r="F43" s="295" t="s">
        <v>107</v>
      </c>
      <c r="G43" s="295" t="s">
        <v>107</v>
      </c>
      <c r="H43" s="295" t="s">
        <v>107</v>
      </c>
      <c r="I43" s="295" t="s">
        <v>107</v>
      </c>
      <c r="J43" s="295" t="s">
        <v>107</v>
      </c>
      <c r="K43" s="296">
        <v>5</v>
      </c>
    </row>
    <row r="44" spans="1:11" s="280" customFormat="1" ht="26.25" thickBot="1">
      <c r="A44" s="287" t="s">
        <v>387</v>
      </c>
      <c r="B44" s="295" t="s">
        <v>107</v>
      </c>
      <c r="C44" s="295" t="s">
        <v>107</v>
      </c>
      <c r="D44" s="295" t="s">
        <v>107</v>
      </c>
      <c r="E44" s="295">
        <v>4</v>
      </c>
      <c r="F44" s="295" t="s">
        <v>107</v>
      </c>
      <c r="G44" s="295" t="s">
        <v>107</v>
      </c>
      <c r="H44" s="295" t="s">
        <v>107</v>
      </c>
      <c r="I44" s="295" t="s">
        <v>107</v>
      </c>
      <c r="J44" s="295" t="s">
        <v>107</v>
      </c>
      <c r="K44" s="296">
        <v>4</v>
      </c>
    </row>
    <row r="45" spans="1:11" s="280" customFormat="1" ht="26.25" thickBot="1">
      <c r="A45" s="287" t="s">
        <v>382</v>
      </c>
      <c r="B45" s="295" t="s">
        <v>107</v>
      </c>
      <c r="C45" s="295" t="s">
        <v>107</v>
      </c>
      <c r="D45" s="295">
        <v>1</v>
      </c>
      <c r="E45" s="295" t="s">
        <v>107</v>
      </c>
      <c r="F45" s="295" t="s">
        <v>107</v>
      </c>
      <c r="G45" s="295" t="s">
        <v>107</v>
      </c>
      <c r="H45" s="295" t="s">
        <v>107</v>
      </c>
      <c r="I45" s="295" t="s">
        <v>107</v>
      </c>
      <c r="J45" s="295" t="s">
        <v>107</v>
      </c>
      <c r="K45" s="311">
        <v>1</v>
      </c>
    </row>
    <row r="46" spans="1:11" s="280" customFormat="1" ht="26.25" thickBot="1">
      <c r="A46" s="287" t="s">
        <v>395</v>
      </c>
      <c r="B46" s="295">
        <v>1</v>
      </c>
      <c r="C46" s="295" t="s">
        <v>107</v>
      </c>
      <c r="D46" s="295" t="s">
        <v>107</v>
      </c>
      <c r="E46" s="295" t="s">
        <v>107</v>
      </c>
      <c r="F46" s="295" t="s">
        <v>107</v>
      </c>
      <c r="G46" s="295" t="s">
        <v>107</v>
      </c>
      <c r="H46" s="295" t="s">
        <v>107</v>
      </c>
      <c r="I46" s="295" t="s">
        <v>107</v>
      </c>
      <c r="J46" s="295" t="s">
        <v>107</v>
      </c>
      <c r="K46" s="296">
        <v>1</v>
      </c>
    </row>
    <row r="47" spans="1:11" s="280" customFormat="1" ht="26.25" thickBot="1">
      <c r="A47" s="282" t="s">
        <v>34</v>
      </c>
      <c r="B47" s="297">
        <v>44</v>
      </c>
      <c r="C47" s="297">
        <v>87</v>
      </c>
      <c r="D47" s="297">
        <v>66</v>
      </c>
      <c r="E47" s="297">
        <v>76</v>
      </c>
      <c r="F47" s="297">
        <v>26</v>
      </c>
      <c r="G47" s="297">
        <v>8</v>
      </c>
      <c r="H47" s="297">
        <v>22</v>
      </c>
      <c r="I47" s="297">
        <v>2</v>
      </c>
      <c r="J47" s="297">
        <v>8</v>
      </c>
      <c r="K47" s="296">
        <f>SUM(B47:J47)</f>
        <v>339</v>
      </c>
    </row>
    <row r="48" spans="1:11" s="280" customFormat="1"/>
    <row r="49" spans="1:3" s="2" customFormat="1" ht="45" customHeight="1">
      <c r="A49" s="399" t="s">
        <v>54</v>
      </c>
      <c r="B49" s="399"/>
      <c r="C49" s="399"/>
    </row>
  </sheetData>
  <mergeCells count="21">
    <mergeCell ref="A1:K1"/>
    <mergeCell ref="A26:A27"/>
    <mergeCell ref="B26:C26"/>
    <mergeCell ref="E26:E27"/>
    <mergeCell ref="D26:D27"/>
    <mergeCell ref="F26:F27"/>
    <mergeCell ref="H26:H27"/>
    <mergeCell ref="G26:G27"/>
    <mergeCell ref="I26:J26"/>
    <mergeCell ref="A49:C49"/>
    <mergeCell ref="A24:K24"/>
    <mergeCell ref="K26:K27"/>
    <mergeCell ref="A3:A4"/>
    <mergeCell ref="B3:C3"/>
    <mergeCell ref="D3:D4"/>
    <mergeCell ref="E3:E4"/>
    <mergeCell ref="F3:F4"/>
    <mergeCell ref="G3:G4"/>
    <mergeCell ref="H3:H4"/>
    <mergeCell ref="I3:J3"/>
    <mergeCell ref="K3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50"/>
  <sheetViews>
    <sheetView rightToLeft="1" workbookViewId="0">
      <selection activeCell="A23" sqref="A23:XFD23"/>
    </sheetView>
  </sheetViews>
  <sheetFormatPr defaultRowHeight="15"/>
  <cols>
    <col min="1" max="1" width="42.140625" customWidth="1"/>
    <col min="2" max="2" width="12.85546875" customWidth="1"/>
    <col min="3" max="3" width="11.7109375" customWidth="1"/>
    <col min="4" max="4" width="18.85546875" customWidth="1"/>
    <col min="5" max="5" width="12.85546875" customWidth="1"/>
    <col min="6" max="6" width="18" customWidth="1"/>
    <col min="8" max="8" width="14.5703125" customWidth="1"/>
    <col min="10" max="10" width="14.42578125" customWidth="1"/>
    <col min="11" max="11" width="19.140625" customWidth="1"/>
    <col min="12" max="12" width="18.42578125" customWidth="1"/>
    <col min="13" max="13" width="12.42578125" customWidth="1"/>
  </cols>
  <sheetData>
    <row r="1" spans="1:13" s="307" customFormat="1" ht="40.5" customHeight="1">
      <c r="A1" s="388" t="s">
        <v>425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3" s="307" customFormat="1" ht="15.75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</row>
    <row r="3" spans="1:13" s="154" customFormat="1" ht="69.75">
      <c r="A3" s="298" t="s">
        <v>424</v>
      </c>
      <c r="B3" s="264" t="s">
        <v>353</v>
      </c>
      <c r="C3" s="264" t="s">
        <v>354</v>
      </c>
      <c r="D3" s="264" t="s">
        <v>355</v>
      </c>
      <c r="E3" s="264" t="s">
        <v>356</v>
      </c>
      <c r="F3" s="264" t="s">
        <v>357</v>
      </c>
      <c r="G3" s="264" t="s">
        <v>358</v>
      </c>
      <c r="H3" s="264" t="s">
        <v>359</v>
      </c>
      <c r="I3" s="264" t="s">
        <v>360</v>
      </c>
      <c r="J3" s="264" t="s">
        <v>361</v>
      </c>
      <c r="K3" s="264" t="s">
        <v>362</v>
      </c>
      <c r="L3" s="264" t="s">
        <v>363</v>
      </c>
      <c r="M3" s="264" t="s">
        <v>364</v>
      </c>
    </row>
    <row r="4" spans="1:13" s="154" customFormat="1" ht="26.25" thickBot="1">
      <c r="A4" s="286" t="s">
        <v>377</v>
      </c>
      <c r="B4" s="248">
        <v>2</v>
      </c>
      <c r="C4" s="248">
        <v>2</v>
      </c>
      <c r="D4" s="248">
        <v>2</v>
      </c>
      <c r="E4" s="248">
        <v>2</v>
      </c>
      <c r="F4" s="248" t="s">
        <v>107</v>
      </c>
      <c r="G4" s="248" t="s">
        <v>107</v>
      </c>
      <c r="H4" s="248">
        <v>1</v>
      </c>
      <c r="I4" s="248">
        <v>1</v>
      </c>
      <c r="J4" s="248">
        <v>1</v>
      </c>
      <c r="K4" s="248" t="s">
        <v>107</v>
      </c>
      <c r="L4" s="248">
        <v>1</v>
      </c>
      <c r="M4" s="312">
        <v>1</v>
      </c>
    </row>
    <row r="5" spans="1:13" s="154" customFormat="1" ht="26.25" thickBot="1">
      <c r="A5" s="287" t="s">
        <v>374</v>
      </c>
      <c r="B5" s="248" t="s">
        <v>107</v>
      </c>
      <c r="C5" s="248">
        <v>1</v>
      </c>
      <c r="D5" s="248">
        <v>1</v>
      </c>
      <c r="E5" s="248" t="s">
        <v>107</v>
      </c>
      <c r="F5" s="248" t="s">
        <v>107</v>
      </c>
      <c r="G5" s="248" t="s">
        <v>107</v>
      </c>
      <c r="H5" s="248" t="s">
        <v>107</v>
      </c>
      <c r="I5" s="248" t="s">
        <v>107</v>
      </c>
      <c r="J5" s="248" t="s">
        <v>107</v>
      </c>
      <c r="K5" s="248" t="s">
        <v>107</v>
      </c>
      <c r="L5" s="248">
        <v>2</v>
      </c>
      <c r="M5" s="312">
        <v>1</v>
      </c>
    </row>
    <row r="6" spans="1:13" s="154" customFormat="1" ht="26.25" thickBot="1">
      <c r="A6" s="287" t="s">
        <v>375</v>
      </c>
      <c r="B6" s="248">
        <v>3</v>
      </c>
      <c r="C6" s="248" t="s">
        <v>107</v>
      </c>
      <c r="D6" s="248" t="s">
        <v>107</v>
      </c>
      <c r="E6" s="248" t="s">
        <v>107</v>
      </c>
      <c r="F6" s="248">
        <v>1</v>
      </c>
      <c r="G6" s="248">
        <v>1</v>
      </c>
      <c r="H6" s="248">
        <v>1</v>
      </c>
      <c r="I6" s="248">
        <v>1</v>
      </c>
      <c r="J6" s="248" t="s">
        <v>107</v>
      </c>
      <c r="K6" s="248" t="s">
        <v>107</v>
      </c>
      <c r="L6" s="248">
        <v>2</v>
      </c>
      <c r="M6" s="312" t="s">
        <v>107</v>
      </c>
    </row>
    <row r="7" spans="1:13" s="154" customFormat="1" ht="26.25" thickBot="1">
      <c r="A7" s="287" t="s">
        <v>376</v>
      </c>
      <c r="B7" s="248" t="s">
        <v>107</v>
      </c>
      <c r="C7" s="248">
        <v>1</v>
      </c>
      <c r="D7" s="248" t="s">
        <v>107</v>
      </c>
      <c r="E7" s="248" t="s">
        <v>107</v>
      </c>
      <c r="F7" s="248" t="s">
        <v>107</v>
      </c>
      <c r="G7" s="248" t="s">
        <v>107</v>
      </c>
      <c r="H7" s="248">
        <v>1</v>
      </c>
      <c r="I7" s="248" t="s">
        <v>107</v>
      </c>
      <c r="J7" s="248" t="s">
        <v>107</v>
      </c>
      <c r="K7" s="248">
        <v>1</v>
      </c>
      <c r="L7" s="248" t="s">
        <v>107</v>
      </c>
      <c r="M7" s="312">
        <v>1</v>
      </c>
    </row>
    <row r="8" spans="1:13" s="154" customFormat="1" ht="26.25" thickBot="1">
      <c r="A8" s="287" t="s">
        <v>378</v>
      </c>
      <c r="B8" s="248" t="s">
        <v>107</v>
      </c>
      <c r="C8" s="248">
        <v>1</v>
      </c>
      <c r="D8" s="248">
        <v>3</v>
      </c>
      <c r="E8" s="248">
        <v>3</v>
      </c>
      <c r="F8" s="248" t="s">
        <v>107</v>
      </c>
      <c r="G8" s="248" t="s">
        <v>107</v>
      </c>
      <c r="H8" s="248" t="s">
        <v>107</v>
      </c>
      <c r="I8" s="248" t="s">
        <v>107</v>
      </c>
      <c r="J8" s="248" t="s">
        <v>107</v>
      </c>
      <c r="K8" s="248">
        <v>1</v>
      </c>
      <c r="L8" s="248" t="s">
        <v>107</v>
      </c>
      <c r="M8" s="312" t="s">
        <v>107</v>
      </c>
    </row>
    <row r="9" spans="1:13" s="154" customFormat="1" ht="26.25" thickBot="1">
      <c r="A9" s="287" t="s">
        <v>379</v>
      </c>
      <c r="B9" s="248" t="s">
        <v>107</v>
      </c>
      <c r="C9" s="248" t="s">
        <v>107</v>
      </c>
      <c r="D9" s="248" t="s">
        <v>107</v>
      </c>
      <c r="E9" s="248" t="s">
        <v>107</v>
      </c>
      <c r="F9" s="248" t="s">
        <v>107</v>
      </c>
      <c r="G9" s="248">
        <v>2</v>
      </c>
      <c r="H9" s="248">
        <v>1</v>
      </c>
      <c r="I9" s="248">
        <v>1</v>
      </c>
      <c r="J9" s="248" t="s">
        <v>107</v>
      </c>
      <c r="K9" s="248" t="s">
        <v>107</v>
      </c>
      <c r="L9" s="248" t="s">
        <v>107</v>
      </c>
      <c r="M9" s="312">
        <v>1</v>
      </c>
    </row>
    <row r="10" spans="1:13" s="154" customFormat="1" ht="26.25" thickBot="1">
      <c r="A10" s="287" t="s">
        <v>380</v>
      </c>
      <c r="B10" s="248" t="s">
        <v>107</v>
      </c>
      <c r="C10" s="248" t="s">
        <v>107</v>
      </c>
      <c r="D10" s="248" t="s">
        <v>107</v>
      </c>
      <c r="E10" s="248" t="s">
        <v>107</v>
      </c>
      <c r="F10" s="248">
        <v>1</v>
      </c>
      <c r="G10" s="248" t="s">
        <v>107</v>
      </c>
      <c r="H10" s="248" t="s">
        <v>107</v>
      </c>
      <c r="I10" s="248" t="s">
        <v>107</v>
      </c>
      <c r="J10" s="248">
        <v>3</v>
      </c>
      <c r="K10" s="248" t="s">
        <v>107</v>
      </c>
      <c r="L10" s="248" t="s">
        <v>107</v>
      </c>
      <c r="M10" s="312" t="s">
        <v>107</v>
      </c>
    </row>
    <row r="11" spans="1:13" s="154" customFormat="1" ht="26.25" thickBot="1">
      <c r="A11" s="287" t="s">
        <v>381</v>
      </c>
      <c r="B11" s="248" t="s">
        <v>107</v>
      </c>
      <c r="C11" s="248" t="s">
        <v>107</v>
      </c>
      <c r="D11" s="248" t="s">
        <v>107</v>
      </c>
      <c r="E11" s="248" t="s">
        <v>107</v>
      </c>
      <c r="F11" s="248" t="s">
        <v>107</v>
      </c>
      <c r="G11" s="248" t="s">
        <v>107</v>
      </c>
      <c r="H11" s="248">
        <v>1</v>
      </c>
      <c r="I11" s="248">
        <v>1</v>
      </c>
      <c r="J11" s="248" t="s">
        <v>107</v>
      </c>
      <c r="K11" s="248">
        <v>1</v>
      </c>
      <c r="L11" s="248" t="s">
        <v>107</v>
      </c>
      <c r="M11" s="312" t="s">
        <v>107</v>
      </c>
    </row>
    <row r="12" spans="1:13" s="154" customFormat="1" ht="39" thickBot="1">
      <c r="A12" s="287" t="s">
        <v>382</v>
      </c>
      <c r="B12" s="248">
        <v>2</v>
      </c>
      <c r="C12" s="248" t="s">
        <v>107</v>
      </c>
      <c r="D12" s="248" t="s">
        <v>107</v>
      </c>
      <c r="E12" s="248" t="s">
        <v>107</v>
      </c>
      <c r="F12" s="248" t="s">
        <v>107</v>
      </c>
      <c r="G12" s="248" t="s">
        <v>107</v>
      </c>
      <c r="H12" s="248" t="s">
        <v>107</v>
      </c>
      <c r="I12" s="248" t="s">
        <v>107</v>
      </c>
      <c r="J12" s="248" t="s">
        <v>107</v>
      </c>
      <c r="K12" s="248" t="s">
        <v>107</v>
      </c>
      <c r="L12" s="248" t="s">
        <v>107</v>
      </c>
      <c r="M12" s="312">
        <v>1</v>
      </c>
    </row>
    <row r="13" spans="1:13" s="154" customFormat="1" ht="26.25" thickBot="1">
      <c r="A13" s="287" t="s">
        <v>383</v>
      </c>
      <c r="B13" s="248" t="s">
        <v>107</v>
      </c>
      <c r="C13" s="248">
        <v>2</v>
      </c>
      <c r="D13" s="248" t="s">
        <v>107</v>
      </c>
      <c r="E13" s="248" t="s">
        <v>107</v>
      </c>
      <c r="F13" s="248" t="s">
        <v>107</v>
      </c>
      <c r="G13" s="248" t="s">
        <v>107</v>
      </c>
      <c r="H13" s="248" t="s">
        <v>107</v>
      </c>
      <c r="I13" s="248">
        <v>1</v>
      </c>
      <c r="J13" s="248" t="s">
        <v>107</v>
      </c>
      <c r="K13" s="248">
        <v>2</v>
      </c>
      <c r="L13" s="248" t="s">
        <v>107</v>
      </c>
      <c r="M13" s="312" t="s">
        <v>107</v>
      </c>
    </row>
    <row r="14" spans="1:13" s="154" customFormat="1" ht="26.25" thickBot="1">
      <c r="A14" s="287" t="s">
        <v>384</v>
      </c>
      <c r="B14" s="248" t="s">
        <v>107</v>
      </c>
      <c r="C14" s="248" t="s">
        <v>107</v>
      </c>
      <c r="D14" s="248" t="s">
        <v>107</v>
      </c>
      <c r="E14" s="248" t="s">
        <v>107</v>
      </c>
      <c r="F14" s="248" t="s">
        <v>107</v>
      </c>
      <c r="G14" s="248">
        <v>1</v>
      </c>
      <c r="H14" s="248" t="s">
        <v>107</v>
      </c>
      <c r="I14" s="248" t="s">
        <v>107</v>
      </c>
      <c r="J14" s="248" t="s">
        <v>107</v>
      </c>
      <c r="K14" s="248" t="s">
        <v>107</v>
      </c>
      <c r="L14" s="248" t="s">
        <v>107</v>
      </c>
      <c r="M14" s="312" t="s">
        <v>107</v>
      </c>
    </row>
    <row r="15" spans="1:13" s="154" customFormat="1" ht="26.25" thickBot="1">
      <c r="A15" s="287" t="s">
        <v>385</v>
      </c>
      <c r="B15" s="248" t="s">
        <v>107</v>
      </c>
      <c r="C15" s="248" t="s">
        <v>107</v>
      </c>
      <c r="D15" s="248" t="s">
        <v>107</v>
      </c>
      <c r="E15" s="248" t="s">
        <v>107</v>
      </c>
      <c r="F15" s="248">
        <v>3</v>
      </c>
      <c r="G15" s="248" t="s">
        <v>107</v>
      </c>
      <c r="H15" s="248" t="s">
        <v>107</v>
      </c>
      <c r="I15" s="248" t="s">
        <v>107</v>
      </c>
      <c r="J15" s="248">
        <v>1</v>
      </c>
      <c r="K15" s="248" t="s">
        <v>107</v>
      </c>
      <c r="L15" s="248" t="s">
        <v>107</v>
      </c>
      <c r="M15" s="312" t="s">
        <v>107</v>
      </c>
    </row>
    <row r="16" spans="1:13" s="154" customFormat="1" ht="25.5" customHeight="1" thickBot="1">
      <c r="A16" s="287" t="s">
        <v>386</v>
      </c>
      <c r="B16" s="248">
        <v>1</v>
      </c>
      <c r="C16" s="248" t="s">
        <v>107</v>
      </c>
      <c r="D16" s="248" t="s">
        <v>107</v>
      </c>
      <c r="E16" s="248" t="s">
        <v>107</v>
      </c>
      <c r="F16" s="248" t="s">
        <v>107</v>
      </c>
      <c r="G16" s="248">
        <v>1</v>
      </c>
      <c r="H16" s="248" t="s">
        <v>107</v>
      </c>
      <c r="I16" s="248" t="s">
        <v>107</v>
      </c>
      <c r="J16" s="248" t="s">
        <v>107</v>
      </c>
      <c r="K16" s="248" t="s">
        <v>107</v>
      </c>
      <c r="L16" s="248" t="s">
        <v>107</v>
      </c>
      <c r="M16" s="312" t="s">
        <v>107</v>
      </c>
    </row>
    <row r="17" spans="1:15" s="154" customFormat="1" ht="26.25" thickBot="1">
      <c r="A17" s="287" t="s">
        <v>387</v>
      </c>
      <c r="B17" s="248" t="s">
        <v>107</v>
      </c>
      <c r="C17" s="248" t="s">
        <v>107</v>
      </c>
      <c r="D17" s="248" t="s">
        <v>107</v>
      </c>
      <c r="E17" s="248" t="s">
        <v>107</v>
      </c>
      <c r="F17" s="248" t="s">
        <v>107</v>
      </c>
      <c r="G17" s="248" t="s">
        <v>107</v>
      </c>
      <c r="H17" s="248" t="s">
        <v>107</v>
      </c>
      <c r="I17" s="248" t="s">
        <v>107</v>
      </c>
      <c r="J17" s="248" t="s">
        <v>107</v>
      </c>
      <c r="K17" s="248" t="s">
        <v>107</v>
      </c>
      <c r="L17" s="248" t="s">
        <v>107</v>
      </c>
      <c r="M17" s="312" t="s">
        <v>107</v>
      </c>
    </row>
    <row r="18" spans="1:15" s="154" customFormat="1" ht="26.25" thickBot="1">
      <c r="A18" s="287" t="s">
        <v>388</v>
      </c>
      <c r="B18" s="248" t="s">
        <v>107</v>
      </c>
      <c r="C18" s="248" t="s">
        <v>107</v>
      </c>
      <c r="D18" s="248" t="s">
        <v>107</v>
      </c>
      <c r="E18" s="248" t="s">
        <v>107</v>
      </c>
      <c r="F18" s="248" t="s">
        <v>107</v>
      </c>
      <c r="G18" s="248" t="s">
        <v>107</v>
      </c>
      <c r="H18" s="248" t="s">
        <v>107</v>
      </c>
      <c r="I18" s="248" t="s">
        <v>107</v>
      </c>
      <c r="J18" s="248" t="s">
        <v>107</v>
      </c>
      <c r="K18" s="248" t="s">
        <v>107</v>
      </c>
      <c r="L18" s="248" t="s">
        <v>107</v>
      </c>
      <c r="M18" s="312" t="s">
        <v>107</v>
      </c>
    </row>
    <row r="19" spans="1:15" s="154" customFormat="1" ht="26.25" thickBot="1">
      <c r="A19" s="287" t="s">
        <v>389</v>
      </c>
      <c r="B19" s="248">
        <v>1</v>
      </c>
      <c r="C19" s="248" t="s">
        <v>107</v>
      </c>
      <c r="D19" s="248" t="s">
        <v>107</v>
      </c>
      <c r="E19" s="248" t="s">
        <v>107</v>
      </c>
      <c r="F19" s="248" t="s">
        <v>107</v>
      </c>
      <c r="G19" s="248" t="s">
        <v>107</v>
      </c>
      <c r="H19" s="248" t="s">
        <v>107</v>
      </c>
      <c r="I19" s="248" t="s">
        <v>107</v>
      </c>
      <c r="J19" s="248" t="s">
        <v>107</v>
      </c>
      <c r="K19" s="248" t="s">
        <v>107</v>
      </c>
      <c r="L19" s="248" t="s">
        <v>107</v>
      </c>
      <c r="M19" s="312" t="s">
        <v>107</v>
      </c>
    </row>
    <row r="20" spans="1:15" s="154" customFormat="1" ht="26.25" thickBot="1">
      <c r="A20" s="287" t="s">
        <v>390</v>
      </c>
      <c r="B20" s="248" t="s">
        <v>107</v>
      </c>
      <c r="C20" s="248" t="s">
        <v>107</v>
      </c>
      <c r="D20" s="248" t="s">
        <v>107</v>
      </c>
      <c r="E20" s="248" t="s">
        <v>107</v>
      </c>
      <c r="F20" s="248" t="s">
        <v>107</v>
      </c>
      <c r="G20" s="248" t="s">
        <v>107</v>
      </c>
      <c r="H20" s="248" t="s">
        <v>107</v>
      </c>
      <c r="I20" s="248" t="s">
        <v>107</v>
      </c>
      <c r="J20" s="248" t="s">
        <v>107</v>
      </c>
      <c r="K20" s="248" t="s">
        <v>107</v>
      </c>
      <c r="L20" s="248" t="s">
        <v>107</v>
      </c>
      <c r="M20" s="312" t="s">
        <v>107</v>
      </c>
    </row>
    <row r="21" spans="1:15" s="154" customFormat="1" ht="26.25" thickBot="1">
      <c r="A21" s="282" t="s">
        <v>422</v>
      </c>
      <c r="B21" s="313">
        <v>9</v>
      </c>
      <c r="C21" s="313">
        <v>7</v>
      </c>
      <c r="D21" s="313">
        <v>6</v>
      </c>
      <c r="E21" s="313">
        <v>5</v>
      </c>
      <c r="F21" s="313">
        <v>5</v>
      </c>
      <c r="G21" s="313">
        <v>5</v>
      </c>
      <c r="H21" s="313">
        <v>5</v>
      </c>
      <c r="I21" s="313">
        <v>5</v>
      </c>
      <c r="J21" s="313">
        <v>5</v>
      </c>
      <c r="K21" s="313">
        <v>5</v>
      </c>
      <c r="L21" s="313">
        <v>5</v>
      </c>
      <c r="M21" s="249">
        <v>5</v>
      </c>
    </row>
    <row r="22" spans="1:15" s="154" customFormat="1" ht="23.25">
      <c r="A22" s="288"/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</row>
    <row r="23" spans="1:15" s="307" customFormat="1" ht="40.5" customHeight="1">
      <c r="A23" s="388" t="s">
        <v>426</v>
      </c>
      <c r="B23" s="388"/>
      <c r="C23" s="388"/>
      <c r="D23" s="388"/>
      <c r="E23" s="388"/>
      <c r="F23" s="388"/>
      <c r="G23" s="388"/>
      <c r="H23" s="388"/>
      <c r="I23" s="388"/>
      <c r="J23" s="388"/>
      <c r="K23" s="388"/>
    </row>
    <row r="24" spans="1:15" s="154" customFormat="1"/>
    <row r="25" spans="1:15" s="154" customFormat="1" ht="63">
      <c r="A25" s="314" t="s">
        <v>424</v>
      </c>
      <c r="B25" s="264" t="s">
        <v>354</v>
      </c>
      <c r="C25" s="264" t="s">
        <v>358</v>
      </c>
      <c r="D25" s="264" t="s">
        <v>357</v>
      </c>
      <c r="E25" s="264" t="s">
        <v>365</v>
      </c>
      <c r="F25" s="264" t="s">
        <v>360</v>
      </c>
      <c r="G25" s="264" t="s">
        <v>366</v>
      </c>
      <c r="H25" s="264" t="s">
        <v>361</v>
      </c>
      <c r="I25" s="264" t="s">
        <v>367</v>
      </c>
      <c r="J25" s="264" t="s">
        <v>368</v>
      </c>
      <c r="K25" s="264" t="s">
        <v>369</v>
      </c>
      <c r="L25" s="264" t="s">
        <v>370</v>
      </c>
      <c r="M25" s="264" t="s">
        <v>371</v>
      </c>
      <c r="N25" s="264" t="s">
        <v>372</v>
      </c>
      <c r="O25" s="272"/>
    </row>
    <row r="26" spans="1:15" s="154" customFormat="1" ht="26.25" thickBot="1">
      <c r="A26" s="286" t="s">
        <v>377</v>
      </c>
      <c r="B26" s="200">
        <v>2</v>
      </c>
      <c r="C26" s="200" t="s">
        <v>107</v>
      </c>
      <c r="D26" s="200">
        <v>3</v>
      </c>
      <c r="E26" s="200" t="s">
        <v>107</v>
      </c>
      <c r="F26" s="200">
        <v>2</v>
      </c>
      <c r="G26" s="200" t="s">
        <v>107</v>
      </c>
      <c r="H26" s="200">
        <v>1</v>
      </c>
      <c r="I26" s="200">
        <v>4</v>
      </c>
      <c r="J26" s="200">
        <v>1</v>
      </c>
      <c r="K26" s="200">
        <v>3</v>
      </c>
      <c r="L26" s="200">
        <v>3</v>
      </c>
      <c r="M26" s="200" t="s">
        <v>107</v>
      </c>
      <c r="N26" s="315">
        <v>1</v>
      </c>
    </row>
    <row r="27" spans="1:15" s="154" customFormat="1" ht="26.25" thickBot="1">
      <c r="A27" s="287" t="s">
        <v>374</v>
      </c>
      <c r="B27" s="200">
        <v>4</v>
      </c>
      <c r="C27" s="200">
        <v>1</v>
      </c>
      <c r="D27" s="200" t="s">
        <v>107</v>
      </c>
      <c r="E27" s="200" t="s">
        <v>107</v>
      </c>
      <c r="F27" s="200" t="s">
        <v>107</v>
      </c>
      <c r="G27" s="200" t="s">
        <v>107</v>
      </c>
      <c r="H27" s="200">
        <v>2</v>
      </c>
      <c r="I27" s="200">
        <v>1</v>
      </c>
      <c r="J27" s="200">
        <v>1</v>
      </c>
      <c r="K27" s="200" t="s">
        <v>107</v>
      </c>
      <c r="L27" s="200" t="s">
        <v>107</v>
      </c>
      <c r="M27" s="200">
        <v>3</v>
      </c>
      <c r="N27" s="315" t="s">
        <v>107</v>
      </c>
    </row>
    <row r="28" spans="1:15" s="154" customFormat="1" ht="26.25" thickBot="1">
      <c r="A28" s="287" t="s">
        <v>375</v>
      </c>
      <c r="B28" s="200" t="s">
        <v>107</v>
      </c>
      <c r="C28" s="200">
        <v>1</v>
      </c>
      <c r="D28" s="200" t="s">
        <v>107</v>
      </c>
      <c r="E28" s="200">
        <v>1</v>
      </c>
      <c r="F28" s="200">
        <v>1</v>
      </c>
      <c r="G28" s="200">
        <v>1</v>
      </c>
      <c r="H28" s="200">
        <v>2</v>
      </c>
      <c r="I28" s="200" t="s">
        <v>107</v>
      </c>
      <c r="J28" s="200" t="s">
        <v>107</v>
      </c>
      <c r="K28" s="200">
        <v>1</v>
      </c>
      <c r="L28" s="200" t="s">
        <v>107</v>
      </c>
      <c r="M28" s="200">
        <v>1</v>
      </c>
      <c r="N28" s="315">
        <v>3</v>
      </c>
    </row>
    <row r="29" spans="1:15" s="154" customFormat="1" ht="26.25" thickBot="1">
      <c r="A29" s="287" t="s">
        <v>378</v>
      </c>
      <c r="B29" s="200">
        <v>3</v>
      </c>
      <c r="C29" s="200" t="s">
        <v>107</v>
      </c>
      <c r="D29" s="200" t="s">
        <v>107</v>
      </c>
      <c r="E29" s="200">
        <v>1</v>
      </c>
      <c r="F29" s="200" t="s">
        <v>107</v>
      </c>
      <c r="G29" s="200" t="s">
        <v>107</v>
      </c>
      <c r="H29" s="200" t="s">
        <v>107</v>
      </c>
      <c r="I29" s="200" t="s">
        <v>107</v>
      </c>
      <c r="J29" s="200" t="s">
        <v>107</v>
      </c>
      <c r="K29" s="200" t="s">
        <v>107</v>
      </c>
      <c r="L29" s="200" t="s">
        <v>107</v>
      </c>
      <c r="M29" s="200" t="s">
        <v>107</v>
      </c>
      <c r="N29" s="315" t="s">
        <v>107</v>
      </c>
    </row>
    <row r="30" spans="1:15" s="154" customFormat="1" ht="26.25" thickBot="1">
      <c r="A30" s="287" t="s">
        <v>379</v>
      </c>
      <c r="B30" s="200" t="s">
        <v>107</v>
      </c>
      <c r="C30" s="200">
        <v>1</v>
      </c>
      <c r="D30" s="200" t="s">
        <v>107</v>
      </c>
      <c r="E30" s="200" t="s">
        <v>107</v>
      </c>
      <c r="F30" s="200">
        <v>2</v>
      </c>
      <c r="G30" s="200">
        <v>3</v>
      </c>
      <c r="H30" s="200">
        <v>1</v>
      </c>
      <c r="I30" s="200" t="s">
        <v>107</v>
      </c>
      <c r="J30" s="200">
        <v>1</v>
      </c>
      <c r="K30" s="200">
        <v>1</v>
      </c>
      <c r="L30" s="200" t="s">
        <v>107</v>
      </c>
      <c r="M30" s="200" t="s">
        <v>107</v>
      </c>
      <c r="N30" s="315" t="s">
        <v>107</v>
      </c>
    </row>
    <row r="31" spans="1:15" s="154" customFormat="1" ht="26.25" thickBot="1">
      <c r="A31" s="287" t="s">
        <v>376</v>
      </c>
      <c r="B31" s="200" t="s">
        <v>107</v>
      </c>
      <c r="C31" s="200" t="s">
        <v>107</v>
      </c>
      <c r="D31" s="200" t="s">
        <v>107</v>
      </c>
      <c r="E31" s="200">
        <v>1</v>
      </c>
      <c r="F31" s="200">
        <v>1</v>
      </c>
      <c r="G31" s="200" t="s">
        <v>107</v>
      </c>
      <c r="H31" s="200" t="s">
        <v>107</v>
      </c>
      <c r="I31" s="200" t="s">
        <v>107</v>
      </c>
      <c r="J31" s="200" t="s">
        <v>107</v>
      </c>
      <c r="K31" s="200" t="s">
        <v>107</v>
      </c>
      <c r="L31" s="200" t="s">
        <v>107</v>
      </c>
      <c r="M31" s="200">
        <v>1</v>
      </c>
      <c r="N31" s="315" t="s">
        <v>107</v>
      </c>
    </row>
    <row r="32" spans="1:15" s="154" customFormat="1" ht="26.25" thickBot="1">
      <c r="A32" s="287" t="s">
        <v>384</v>
      </c>
      <c r="B32" s="200">
        <v>1</v>
      </c>
      <c r="C32" s="200" t="s">
        <v>107</v>
      </c>
      <c r="D32" s="200">
        <v>1</v>
      </c>
      <c r="E32" s="200" t="s">
        <v>107</v>
      </c>
      <c r="F32" s="200" t="s">
        <v>107</v>
      </c>
      <c r="G32" s="200" t="s">
        <v>107</v>
      </c>
      <c r="H32" s="200" t="s">
        <v>107</v>
      </c>
      <c r="I32" s="200" t="s">
        <v>107</v>
      </c>
      <c r="J32" s="200" t="s">
        <v>107</v>
      </c>
      <c r="K32" s="200" t="s">
        <v>107</v>
      </c>
      <c r="L32" s="200">
        <v>1</v>
      </c>
      <c r="M32" s="200" t="s">
        <v>107</v>
      </c>
      <c r="N32" s="315" t="s">
        <v>107</v>
      </c>
    </row>
    <row r="33" spans="1:14" s="154" customFormat="1" ht="26.25" thickBot="1">
      <c r="A33" s="287" t="s">
        <v>381</v>
      </c>
      <c r="B33" s="200" t="s">
        <v>107</v>
      </c>
      <c r="C33" s="200">
        <v>1</v>
      </c>
      <c r="D33" s="200" t="s">
        <v>107</v>
      </c>
      <c r="E33" s="200">
        <v>2</v>
      </c>
      <c r="F33" s="200" t="s">
        <v>107</v>
      </c>
      <c r="G33" s="200" t="s">
        <v>107</v>
      </c>
      <c r="H33" s="200" t="s">
        <v>107</v>
      </c>
      <c r="I33" s="200" t="s">
        <v>107</v>
      </c>
      <c r="J33" s="200" t="s">
        <v>107</v>
      </c>
      <c r="K33" s="200" t="s">
        <v>107</v>
      </c>
      <c r="L33" s="200" t="s">
        <v>107</v>
      </c>
      <c r="M33" s="200" t="s">
        <v>107</v>
      </c>
      <c r="N33" s="315">
        <v>1</v>
      </c>
    </row>
    <row r="34" spans="1:14" s="154" customFormat="1" ht="26.25" thickBot="1">
      <c r="A34" s="287" t="s">
        <v>380</v>
      </c>
      <c r="B34" s="200">
        <v>1</v>
      </c>
      <c r="C34" s="200" t="s">
        <v>107</v>
      </c>
      <c r="D34" s="200">
        <v>1</v>
      </c>
      <c r="E34" s="200" t="s">
        <v>107</v>
      </c>
      <c r="F34" s="200" t="s">
        <v>107</v>
      </c>
      <c r="G34" s="200" t="s">
        <v>107</v>
      </c>
      <c r="H34" s="200" t="s">
        <v>107</v>
      </c>
      <c r="I34" s="200" t="s">
        <v>107</v>
      </c>
      <c r="J34" s="200" t="s">
        <v>107</v>
      </c>
      <c r="K34" s="200" t="s">
        <v>107</v>
      </c>
      <c r="L34" s="200" t="s">
        <v>107</v>
      </c>
      <c r="M34" s="200" t="s">
        <v>107</v>
      </c>
      <c r="N34" s="315" t="s">
        <v>107</v>
      </c>
    </row>
    <row r="35" spans="1:14" s="154" customFormat="1" ht="26.25" thickBot="1">
      <c r="A35" s="287" t="s">
        <v>390</v>
      </c>
      <c r="B35" s="200" t="s">
        <v>107</v>
      </c>
      <c r="C35" s="200" t="s">
        <v>107</v>
      </c>
      <c r="D35" s="200" t="s">
        <v>107</v>
      </c>
      <c r="E35" s="200" t="s">
        <v>107</v>
      </c>
      <c r="F35" s="200" t="s">
        <v>107</v>
      </c>
      <c r="G35" s="200" t="s">
        <v>107</v>
      </c>
      <c r="H35" s="200" t="s">
        <v>107</v>
      </c>
      <c r="I35" s="200">
        <v>1</v>
      </c>
      <c r="J35" s="200">
        <v>2</v>
      </c>
      <c r="K35" s="200" t="s">
        <v>107</v>
      </c>
      <c r="L35" s="200" t="s">
        <v>107</v>
      </c>
      <c r="M35" s="200" t="s">
        <v>107</v>
      </c>
      <c r="N35" s="315" t="s">
        <v>107</v>
      </c>
    </row>
    <row r="36" spans="1:14" s="154" customFormat="1" ht="26.25" thickBot="1">
      <c r="A36" s="287" t="s">
        <v>393</v>
      </c>
      <c r="B36" s="200" t="s">
        <v>107</v>
      </c>
      <c r="C36" s="200" t="s">
        <v>107</v>
      </c>
      <c r="D36" s="200" t="s">
        <v>107</v>
      </c>
      <c r="E36" s="200">
        <v>1</v>
      </c>
      <c r="F36" s="200" t="s">
        <v>107</v>
      </c>
      <c r="G36" s="200">
        <v>1</v>
      </c>
      <c r="H36" s="200" t="s">
        <v>107</v>
      </c>
      <c r="I36" s="200" t="s">
        <v>107</v>
      </c>
      <c r="J36" s="200" t="s">
        <v>107</v>
      </c>
      <c r="K36" s="200" t="s">
        <v>107</v>
      </c>
      <c r="L36" s="200" t="s">
        <v>107</v>
      </c>
      <c r="M36" s="200" t="s">
        <v>107</v>
      </c>
      <c r="N36" s="315" t="s">
        <v>107</v>
      </c>
    </row>
    <row r="37" spans="1:14" s="154" customFormat="1" ht="26.25" thickBot="1">
      <c r="A37" s="287" t="s">
        <v>389</v>
      </c>
      <c r="B37" s="200">
        <v>1</v>
      </c>
      <c r="C37" s="200" t="s">
        <v>107</v>
      </c>
      <c r="D37" s="200" t="s">
        <v>107</v>
      </c>
      <c r="E37" s="200" t="s">
        <v>107</v>
      </c>
      <c r="F37" s="200" t="s">
        <v>107</v>
      </c>
      <c r="G37" s="200" t="s">
        <v>107</v>
      </c>
      <c r="H37" s="200" t="s">
        <v>107</v>
      </c>
      <c r="I37" s="200" t="s">
        <v>107</v>
      </c>
      <c r="J37" s="200" t="s">
        <v>107</v>
      </c>
      <c r="K37" s="200" t="s">
        <v>107</v>
      </c>
      <c r="L37" s="200" t="s">
        <v>107</v>
      </c>
      <c r="M37" s="200" t="s">
        <v>107</v>
      </c>
      <c r="N37" s="315" t="s">
        <v>107</v>
      </c>
    </row>
    <row r="38" spans="1:14" s="154" customFormat="1" ht="26.25" thickBot="1">
      <c r="A38" s="287" t="s">
        <v>386</v>
      </c>
      <c r="B38" s="200" t="s">
        <v>107</v>
      </c>
      <c r="C38" s="200" t="s">
        <v>107</v>
      </c>
      <c r="D38" s="200" t="s">
        <v>107</v>
      </c>
      <c r="E38" s="200" t="s">
        <v>107</v>
      </c>
      <c r="F38" s="200" t="s">
        <v>107</v>
      </c>
      <c r="G38" s="200" t="s">
        <v>107</v>
      </c>
      <c r="H38" s="200" t="s">
        <v>107</v>
      </c>
      <c r="I38" s="200" t="s">
        <v>107</v>
      </c>
      <c r="J38" s="200" t="s">
        <v>107</v>
      </c>
      <c r="K38" s="200" t="s">
        <v>107</v>
      </c>
      <c r="L38" s="200" t="s">
        <v>107</v>
      </c>
      <c r="M38" s="200" t="s">
        <v>107</v>
      </c>
      <c r="N38" s="315" t="s">
        <v>107</v>
      </c>
    </row>
    <row r="39" spans="1:14" s="154" customFormat="1" ht="26.25" thickBot="1">
      <c r="A39" s="287" t="s">
        <v>385</v>
      </c>
      <c r="B39" s="200" t="s">
        <v>107</v>
      </c>
      <c r="C39" s="200">
        <v>1</v>
      </c>
      <c r="D39" s="200" t="s">
        <v>107</v>
      </c>
      <c r="E39" s="200" t="s">
        <v>107</v>
      </c>
      <c r="F39" s="200" t="s">
        <v>107</v>
      </c>
      <c r="G39" s="200">
        <v>1</v>
      </c>
      <c r="H39" s="200" t="s">
        <v>107</v>
      </c>
      <c r="I39" s="200" t="s">
        <v>107</v>
      </c>
      <c r="J39" s="200" t="s">
        <v>107</v>
      </c>
      <c r="K39" s="200" t="s">
        <v>107</v>
      </c>
      <c r="L39" s="200" t="s">
        <v>107</v>
      </c>
      <c r="M39" s="200" t="s">
        <v>107</v>
      </c>
      <c r="N39" s="315" t="s">
        <v>107</v>
      </c>
    </row>
    <row r="40" spans="1:14" s="154" customFormat="1" ht="26.25" thickBot="1">
      <c r="A40" s="287" t="s">
        <v>394</v>
      </c>
      <c r="B40" s="200" t="s">
        <v>107</v>
      </c>
      <c r="C40" s="200">
        <v>1</v>
      </c>
      <c r="D40" s="200">
        <v>1</v>
      </c>
      <c r="E40" s="200" t="s">
        <v>107</v>
      </c>
      <c r="F40" s="200" t="s">
        <v>107</v>
      </c>
      <c r="G40" s="200" t="s">
        <v>107</v>
      </c>
      <c r="H40" s="200" t="s">
        <v>107</v>
      </c>
      <c r="I40" s="200" t="s">
        <v>107</v>
      </c>
      <c r="J40" s="200" t="s">
        <v>107</v>
      </c>
      <c r="K40" s="200" t="s">
        <v>107</v>
      </c>
      <c r="L40" s="200" t="s">
        <v>107</v>
      </c>
      <c r="M40" s="200" t="s">
        <v>107</v>
      </c>
      <c r="N40" s="315" t="s">
        <v>107</v>
      </c>
    </row>
    <row r="41" spans="1:14" s="154" customFormat="1" ht="26.25" thickBot="1">
      <c r="A41" s="287" t="s">
        <v>388</v>
      </c>
      <c r="B41" s="200">
        <v>1</v>
      </c>
      <c r="C41" s="200" t="s">
        <v>107</v>
      </c>
      <c r="D41" s="200" t="s">
        <v>107</v>
      </c>
      <c r="E41" s="200" t="s">
        <v>107</v>
      </c>
      <c r="F41" s="200" t="s">
        <v>107</v>
      </c>
      <c r="G41" s="200" t="s">
        <v>107</v>
      </c>
      <c r="H41" s="200" t="s">
        <v>107</v>
      </c>
      <c r="I41" s="200" t="s">
        <v>107</v>
      </c>
      <c r="J41" s="200" t="s">
        <v>107</v>
      </c>
      <c r="K41" s="200" t="s">
        <v>107</v>
      </c>
      <c r="L41" s="200">
        <v>1</v>
      </c>
      <c r="M41" s="200" t="s">
        <v>107</v>
      </c>
      <c r="N41" s="315" t="s">
        <v>107</v>
      </c>
    </row>
    <row r="42" spans="1:14" s="154" customFormat="1" ht="26.25" thickBot="1">
      <c r="A42" s="287" t="s">
        <v>387</v>
      </c>
      <c r="B42" s="200" t="s">
        <v>107</v>
      </c>
      <c r="C42" s="200">
        <v>2</v>
      </c>
      <c r="D42" s="200">
        <v>1</v>
      </c>
      <c r="E42" s="200">
        <v>1</v>
      </c>
      <c r="F42" s="200" t="s">
        <v>107</v>
      </c>
      <c r="G42" s="200" t="s">
        <v>107</v>
      </c>
      <c r="H42" s="200" t="s">
        <v>107</v>
      </c>
      <c r="I42" s="200" t="s">
        <v>107</v>
      </c>
      <c r="J42" s="200" t="s">
        <v>107</v>
      </c>
      <c r="K42" s="200" t="s">
        <v>107</v>
      </c>
      <c r="L42" s="200" t="s">
        <v>107</v>
      </c>
      <c r="M42" s="200" t="s">
        <v>107</v>
      </c>
      <c r="N42" s="315" t="s">
        <v>107</v>
      </c>
    </row>
    <row r="43" spans="1:14" s="154" customFormat="1" ht="39" thickBot="1">
      <c r="A43" s="287" t="s">
        <v>382</v>
      </c>
      <c r="B43" s="200" t="s">
        <v>107</v>
      </c>
      <c r="C43" s="200" t="s">
        <v>107</v>
      </c>
      <c r="D43" s="200" t="s">
        <v>107</v>
      </c>
      <c r="E43" s="200" t="s">
        <v>107</v>
      </c>
      <c r="F43" s="200" t="s">
        <v>107</v>
      </c>
      <c r="G43" s="200" t="s">
        <v>107</v>
      </c>
      <c r="H43" s="200" t="s">
        <v>107</v>
      </c>
      <c r="I43" s="200" t="s">
        <v>107</v>
      </c>
      <c r="J43" s="200" t="s">
        <v>107</v>
      </c>
      <c r="K43" s="200" t="s">
        <v>107</v>
      </c>
      <c r="L43" s="200" t="s">
        <v>107</v>
      </c>
      <c r="M43" s="200" t="s">
        <v>107</v>
      </c>
      <c r="N43" s="315" t="s">
        <v>107</v>
      </c>
    </row>
    <row r="44" spans="1:14" s="154" customFormat="1" ht="26.25" thickBot="1">
      <c r="A44" s="287" t="s">
        <v>395</v>
      </c>
      <c r="B44" s="200" t="s">
        <v>107</v>
      </c>
      <c r="C44" s="200" t="s">
        <v>107</v>
      </c>
      <c r="D44" s="200" t="s">
        <v>107</v>
      </c>
      <c r="E44" s="200" t="s">
        <v>107</v>
      </c>
      <c r="F44" s="200" t="s">
        <v>107</v>
      </c>
      <c r="G44" s="200" t="s">
        <v>107</v>
      </c>
      <c r="H44" s="200" t="s">
        <v>107</v>
      </c>
      <c r="I44" s="200" t="s">
        <v>107</v>
      </c>
      <c r="J44" s="200" t="s">
        <v>107</v>
      </c>
      <c r="K44" s="200" t="s">
        <v>107</v>
      </c>
      <c r="L44" s="200" t="s">
        <v>107</v>
      </c>
      <c r="M44" s="200" t="s">
        <v>107</v>
      </c>
      <c r="N44" s="315" t="s">
        <v>107</v>
      </c>
    </row>
    <row r="45" spans="1:14" s="154" customFormat="1" ht="26.25" thickBot="1">
      <c r="A45" s="282" t="s">
        <v>34</v>
      </c>
      <c r="B45" s="204">
        <v>13</v>
      </c>
      <c r="C45" s="204">
        <v>8</v>
      </c>
      <c r="D45" s="204">
        <v>7</v>
      </c>
      <c r="E45" s="204">
        <v>7</v>
      </c>
      <c r="F45" s="204">
        <v>6</v>
      </c>
      <c r="G45" s="204">
        <v>6</v>
      </c>
      <c r="H45" s="204">
        <v>6</v>
      </c>
      <c r="I45" s="204">
        <v>6</v>
      </c>
      <c r="J45" s="204">
        <v>5</v>
      </c>
      <c r="K45" s="204">
        <v>5</v>
      </c>
      <c r="L45" s="204">
        <v>5</v>
      </c>
      <c r="M45" s="204">
        <v>5</v>
      </c>
      <c r="N45" s="203">
        <v>5</v>
      </c>
    </row>
    <row r="46" spans="1:14" s="154" customFormat="1"/>
    <row r="47" spans="1:14" s="2" customFormat="1" ht="45" customHeight="1">
      <c r="A47" s="399" t="s">
        <v>54</v>
      </c>
      <c r="B47" s="399"/>
      <c r="C47" s="399"/>
    </row>
    <row r="48" spans="1:14" s="154" customFormat="1"/>
    <row r="49" s="154" customFormat="1"/>
    <row r="50" s="154" customFormat="1" ht="25.5" customHeight="1"/>
  </sheetData>
  <mergeCells count="3">
    <mergeCell ref="A1:K1"/>
    <mergeCell ref="A23:K23"/>
    <mergeCell ref="A47:C4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93"/>
  <sheetViews>
    <sheetView rightToLeft="1" workbookViewId="0">
      <selection activeCell="D79" sqref="D79"/>
    </sheetView>
  </sheetViews>
  <sheetFormatPr defaultColWidth="9" defaultRowHeight="15.75"/>
  <cols>
    <col min="1" max="1" width="36.42578125" style="87" customWidth="1"/>
    <col min="2" max="2" width="14.42578125" style="87" customWidth="1"/>
    <col min="3" max="3" width="10.7109375" style="87" customWidth="1"/>
    <col min="4" max="4" width="11.140625" style="87" customWidth="1"/>
    <col min="5" max="5" width="12.28515625" style="87" customWidth="1"/>
    <col min="6" max="6" width="11.28515625" style="87" customWidth="1"/>
    <col min="7" max="7" width="11.140625" style="87" customWidth="1"/>
    <col min="8" max="8" width="12.42578125" style="87" customWidth="1"/>
    <col min="9" max="9" width="11.7109375" style="87" customWidth="1"/>
    <col min="10" max="10" width="11" style="87" customWidth="1"/>
    <col min="11" max="11" width="15.42578125" style="87" customWidth="1"/>
    <col min="12" max="12" width="10.7109375" style="87" customWidth="1"/>
    <col min="13" max="13" width="10.85546875" style="87" customWidth="1"/>
    <col min="14" max="14" width="11.7109375" style="87" customWidth="1"/>
    <col min="15" max="16384" width="9" style="87"/>
  </cols>
  <sheetData>
    <row r="1" spans="1:14" s="316" customFormat="1">
      <c r="A1" s="435" t="s">
        <v>446</v>
      </c>
      <c r="B1" s="435"/>
      <c r="C1" s="435"/>
      <c r="D1" s="435"/>
      <c r="E1" s="435"/>
      <c r="F1" s="435"/>
    </row>
    <row r="2" spans="1:14" s="316" customFormat="1">
      <c r="A2" s="435" t="s">
        <v>447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1:14" s="316" customFormat="1">
      <c r="A3" s="317"/>
      <c r="B3" s="317"/>
      <c r="C3" s="317"/>
      <c r="D3" s="317"/>
      <c r="E3" s="317"/>
      <c r="F3" s="317"/>
    </row>
    <row r="4" spans="1:14" s="316" customFormat="1">
      <c r="A4" s="317" t="s">
        <v>427</v>
      </c>
      <c r="B4" s="317" t="s">
        <v>428</v>
      </c>
      <c r="C4" s="317"/>
      <c r="D4" s="317"/>
      <c r="E4" s="317"/>
      <c r="F4" s="317"/>
    </row>
    <row r="5" spans="1:14" ht="16.5" thickBot="1"/>
    <row r="6" spans="1:14" ht="48.75" thickTop="1" thickBot="1">
      <c r="A6" s="318" t="s">
        <v>429</v>
      </c>
      <c r="B6" s="319" t="s">
        <v>20</v>
      </c>
      <c r="C6" s="319" t="s">
        <v>21</v>
      </c>
      <c r="D6" s="319" t="s">
        <v>22</v>
      </c>
      <c r="E6" s="319" t="s">
        <v>23</v>
      </c>
      <c r="F6" s="319" t="s">
        <v>24</v>
      </c>
      <c r="G6" s="319" t="s">
        <v>25</v>
      </c>
      <c r="H6" s="319" t="s">
        <v>26</v>
      </c>
      <c r="I6" s="319" t="s">
        <v>27</v>
      </c>
      <c r="J6" s="319" t="s">
        <v>28</v>
      </c>
      <c r="K6" s="319" t="s">
        <v>29</v>
      </c>
      <c r="L6" s="319" t="s">
        <v>30</v>
      </c>
      <c r="M6" s="319" t="s">
        <v>508</v>
      </c>
      <c r="N6" s="319" t="s">
        <v>430</v>
      </c>
    </row>
    <row r="7" spans="1:14" ht="16.5" thickTop="1">
      <c r="A7" s="320" t="s">
        <v>431</v>
      </c>
      <c r="B7" s="321">
        <v>102.52</v>
      </c>
      <c r="C7" s="321">
        <v>115.24</v>
      </c>
      <c r="D7" s="321">
        <v>104.72</v>
      </c>
      <c r="E7" s="321">
        <v>121.66</v>
      </c>
      <c r="F7" s="321">
        <v>125.4</v>
      </c>
      <c r="G7" s="321">
        <v>140.80000000000001</v>
      </c>
      <c r="H7" s="321">
        <v>66</v>
      </c>
      <c r="I7" s="321">
        <v>109.12</v>
      </c>
      <c r="J7" s="321">
        <v>122.1</v>
      </c>
      <c r="K7" s="321">
        <v>185.02</v>
      </c>
      <c r="L7" s="321">
        <v>82.94</v>
      </c>
      <c r="M7" s="321">
        <v>120.12</v>
      </c>
      <c r="N7" s="322">
        <v>1395.64</v>
      </c>
    </row>
    <row r="8" spans="1:14">
      <c r="A8" s="320" t="s">
        <v>432</v>
      </c>
      <c r="B8" s="321">
        <v>0</v>
      </c>
      <c r="C8" s="321">
        <v>0</v>
      </c>
      <c r="D8" s="321">
        <v>0</v>
      </c>
      <c r="E8" s="321">
        <v>0</v>
      </c>
      <c r="F8" s="321">
        <v>0</v>
      </c>
      <c r="G8" s="321">
        <v>0</v>
      </c>
      <c r="H8" s="321">
        <v>29.92</v>
      </c>
      <c r="I8" s="321">
        <v>46.64</v>
      </c>
      <c r="J8" s="321">
        <v>56.98</v>
      </c>
      <c r="K8" s="321">
        <v>49.73</v>
      </c>
      <c r="L8" s="321">
        <v>36.340000000000003</v>
      </c>
      <c r="M8" s="321">
        <v>46.98</v>
      </c>
      <c r="N8" s="322">
        <v>266.58999999999997</v>
      </c>
    </row>
    <row r="9" spans="1:14">
      <c r="A9" s="320" t="s">
        <v>433</v>
      </c>
      <c r="B9" s="321">
        <v>0</v>
      </c>
      <c r="C9" s="321">
        <v>0</v>
      </c>
      <c r="D9" s="321">
        <v>0</v>
      </c>
      <c r="E9" s="321">
        <v>0</v>
      </c>
      <c r="F9" s="321">
        <v>0</v>
      </c>
      <c r="G9" s="321">
        <v>0</v>
      </c>
      <c r="H9" s="321">
        <v>22</v>
      </c>
      <c r="I9" s="321">
        <v>38.5</v>
      </c>
      <c r="J9" s="321">
        <v>47.74</v>
      </c>
      <c r="K9" s="321">
        <v>62.32</v>
      </c>
      <c r="L9" s="321">
        <v>66.84</v>
      </c>
      <c r="M9" s="321">
        <v>73.55</v>
      </c>
      <c r="N9" s="322">
        <v>310.95</v>
      </c>
    </row>
    <row r="10" spans="1:14">
      <c r="A10" s="320" t="s">
        <v>434</v>
      </c>
      <c r="B10" s="321">
        <v>0</v>
      </c>
      <c r="C10" s="321">
        <v>0</v>
      </c>
      <c r="D10" s="321">
        <v>0</v>
      </c>
      <c r="E10" s="321">
        <v>0</v>
      </c>
      <c r="F10" s="321">
        <v>0</v>
      </c>
      <c r="G10" s="321">
        <v>0</v>
      </c>
      <c r="H10" s="321">
        <v>0</v>
      </c>
      <c r="I10" s="321">
        <v>0</v>
      </c>
      <c r="J10" s="321">
        <v>11.22</v>
      </c>
      <c r="K10" s="321">
        <v>4.41</v>
      </c>
      <c r="L10" s="321">
        <v>16.52</v>
      </c>
      <c r="M10" s="321">
        <v>3.08</v>
      </c>
      <c r="N10" s="322">
        <v>35.229999999999997</v>
      </c>
    </row>
    <row r="11" spans="1:14">
      <c r="A11" s="320" t="s">
        <v>435</v>
      </c>
      <c r="B11" s="321">
        <v>0</v>
      </c>
      <c r="C11" s="321">
        <v>0</v>
      </c>
      <c r="D11" s="321">
        <v>0</v>
      </c>
      <c r="E11" s="321">
        <v>0</v>
      </c>
      <c r="F11" s="321">
        <v>0</v>
      </c>
      <c r="G11" s="321">
        <v>0</v>
      </c>
      <c r="H11" s="321">
        <v>0</v>
      </c>
      <c r="I11" s="321">
        <v>0</v>
      </c>
      <c r="J11" s="321">
        <v>6.82</v>
      </c>
      <c r="K11" s="321">
        <v>16.52</v>
      </c>
      <c r="L11" s="321">
        <v>44.39</v>
      </c>
      <c r="M11" s="321">
        <v>3.08</v>
      </c>
      <c r="N11" s="322">
        <v>70.81</v>
      </c>
    </row>
    <row r="12" spans="1:14">
      <c r="A12" s="320" t="s">
        <v>436</v>
      </c>
      <c r="B12" s="321">
        <v>0</v>
      </c>
      <c r="C12" s="321">
        <v>0</v>
      </c>
      <c r="D12" s="321">
        <v>0</v>
      </c>
      <c r="E12" s="321">
        <v>0</v>
      </c>
      <c r="F12" s="321">
        <v>0</v>
      </c>
      <c r="G12" s="321">
        <v>0</v>
      </c>
      <c r="H12" s="321">
        <v>0</v>
      </c>
      <c r="I12" s="321">
        <v>0</v>
      </c>
      <c r="J12" s="321">
        <v>0</v>
      </c>
      <c r="K12" s="321">
        <v>9.07</v>
      </c>
      <c r="L12" s="321">
        <v>0.04</v>
      </c>
      <c r="M12" s="321">
        <v>2.99</v>
      </c>
      <c r="N12" s="322">
        <v>12.1</v>
      </c>
    </row>
    <row r="13" spans="1:14">
      <c r="A13" s="320" t="s">
        <v>437</v>
      </c>
      <c r="B13" s="321">
        <v>6.27</v>
      </c>
      <c r="C13" s="321">
        <v>6.48</v>
      </c>
      <c r="D13" s="321">
        <v>0</v>
      </c>
      <c r="E13" s="321">
        <v>12.87</v>
      </c>
      <c r="F13" s="321">
        <v>5.49</v>
      </c>
      <c r="G13" s="321">
        <v>17.04</v>
      </c>
      <c r="H13" s="321">
        <v>7.48</v>
      </c>
      <c r="I13" s="321">
        <v>5.26</v>
      </c>
      <c r="J13" s="321">
        <v>6.14</v>
      </c>
      <c r="K13" s="321">
        <v>12.52</v>
      </c>
      <c r="L13" s="321">
        <v>3.38</v>
      </c>
      <c r="M13" s="321">
        <v>6.08</v>
      </c>
      <c r="N13" s="322">
        <v>89.01</v>
      </c>
    </row>
    <row r="14" spans="1:14">
      <c r="A14" s="320" t="s">
        <v>438</v>
      </c>
      <c r="B14" s="321">
        <v>0</v>
      </c>
      <c r="C14" s="321">
        <v>0</v>
      </c>
      <c r="D14" s="321">
        <v>0</v>
      </c>
      <c r="E14" s="321">
        <v>0</v>
      </c>
      <c r="F14" s="321">
        <v>0</v>
      </c>
      <c r="G14" s="321">
        <v>0</v>
      </c>
      <c r="H14" s="321">
        <v>0</v>
      </c>
      <c r="I14" s="321">
        <v>0</v>
      </c>
      <c r="J14" s="321">
        <v>0</v>
      </c>
      <c r="K14" s="321">
        <v>0</v>
      </c>
      <c r="L14" s="321">
        <v>0</v>
      </c>
      <c r="M14" s="321">
        <v>0</v>
      </c>
      <c r="N14" s="322">
        <v>0</v>
      </c>
    </row>
    <row r="15" spans="1:14" ht="16.5" thickBot="1">
      <c r="A15" s="320" t="s">
        <v>439</v>
      </c>
      <c r="B15" s="321">
        <v>0</v>
      </c>
      <c r="C15" s="321">
        <v>0</v>
      </c>
      <c r="D15" s="321">
        <v>0</v>
      </c>
      <c r="E15" s="321">
        <v>0</v>
      </c>
      <c r="F15" s="321">
        <v>0</v>
      </c>
      <c r="G15" s="321">
        <v>0</v>
      </c>
      <c r="H15" s="321">
        <v>0</v>
      </c>
      <c r="I15" s="321">
        <v>0</v>
      </c>
      <c r="J15" s="321">
        <v>0</v>
      </c>
      <c r="K15" s="321">
        <v>0</v>
      </c>
      <c r="L15" s="321">
        <v>0</v>
      </c>
      <c r="M15" s="321">
        <v>0</v>
      </c>
      <c r="N15" s="322">
        <v>0</v>
      </c>
    </row>
    <row r="16" spans="1:14" ht="33" thickTop="1" thickBot="1">
      <c r="A16" s="323" t="s">
        <v>440</v>
      </c>
      <c r="B16" s="324">
        <v>108.79</v>
      </c>
      <c r="C16" s="324">
        <v>121.72</v>
      </c>
      <c r="D16" s="324">
        <v>104.72</v>
      </c>
      <c r="E16" s="324">
        <v>134.53</v>
      </c>
      <c r="F16" s="324">
        <v>130.88999999999999</v>
      </c>
      <c r="G16" s="324">
        <v>157.84</v>
      </c>
      <c r="H16" s="324">
        <v>125.4</v>
      </c>
      <c r="I16" s="324">
        <v>199.52</v>
      </c>
      <c r="J16" s="324">
        <v>250.99999999999997</v>
      </c>
      <c r="K16" s="324">
        <v>339.59</v>
      </c>
      <c r="L16" s="324">
        <v>250.45</v>
      </c>
      <c r="M16" s="324">
        <v>255.88</v>
      </c>
      <c r="N16" s="324">
        <v>2180.33</v>
      </c>
    </row>
    <row r="17" spans="1:14" ht="16.5" thickTop="1"/>
    <row r="18" spans="1:14" s="316" customFormat="1">
      <c r="A18" s="435" t="s">
        <v>448</v>
      </c>
      <c r="B18" s="435"/>
      <c r="C18" s="435"/>
      <c r="D18" s="435"/>
      <c r="E18" s="435"/>
      <c r="F18" s="435"/>
    </row>
    <row r="19" spans="1:14" s="316" customFormat="1">
      <c r="A19" s="435" t="s">
        <v>449</v>
      </c>
      <c r="B19" s="435"/>
      <c r="C19" s="435"/>
      <c r="D19" s="435"/>
      <c r="E19" s="435"/>
      <c r="F19" s="435"/>
      <c r="G19" s="435"/>
      <c r="H19" s="435"/>
    </row>
    <row r="20" spans="1:14" s="316" customFormat="1">
      <c r="A20" s="317"/>
      <c r="B20" s="317"/>
      <c r="C20" s="317"/>
      <c r="D20" s="317"/>
      <c r="E20" s="317"/>
      <c r="F20" s="317"/>
    </row>
    <row r="21" spans="1:14" s="316" customFormat="1">
      <c r="A21" s="317" t="s">
        <v>427</v>
      </c>
      <c r="B21" s="317" t="s">
        <v>428</v>
      </c>
      <c r="C21" s="317"/>
      <c r="D21" s="317"/>
      <c r="E21" s="317"/>
      <c r="F21" s="317"/>
    </row>
    <row r="22" spans="1:14" ht="16.5" thickBot="1"/>
    <row r="23" spans="1:14" ht="48.75" thickTop="1" thickBot="1">
      <c r="A23" s="318" t="s">
        <v>429</v>
      </c>
      <c r="B23" s="319" t="s">
        <v>20</v>
      </c>
      <c r="C23" s="319" t="s">
        <v>21</v>
      </c>
      <c r="D23" s="319" t="s">
        <v>22</v>
      </c>
      <c r="E23" s="319" t="s">
        <v>23</v>
      </c>
      <c r="F23" s="319" t="s">
        <v>24</v>
      </c>
      <c r="G23" s="319" t="s">
        <v>25</v>
      </c>
      <c r="H23" s="319" t="s">
        <v>26</v>
      </c>
      <c r="I23" s="319" t="s">
        <v>27</v>
      </c>
      <c r="J23" s="319" t="s">
        <v>28</v>
      </c>
      <c r="K23" s="319" t="s">
        <v>29</v>
      </c>
      <c r="L23" s="319" t="s">
        <v>30</v>
      </c>
      <c r="M23" s="319" t="s">
        <v>509</v>
      </c>
      <c r="N23" s="319" t="s">
        <v>430</v>
      </c>
    </row>
    <row r="24" spans="1:14" ht="16.5" thickTop="1">
      <c r="A24" s="325" t="s">
        <v>431</v>
      </c>
      <c r="B24" s="326">
        <v>115.48</v>
      </c>
      <c r="C24" s="326">
        <v>102.31</v>
      </c>
      <c r="D24" s="326">
        <v>114.97</v>
      </c>
      <c r="E24" s="326">
        <v>132.31</v>
      </c>
      <c r="F24" s="326">
        <v>121.83</v>
      </c>
      <c r="G24" s="326">
        <v>115.02</v>
      </c>
      <c r="H24" s="326">
        <v>100.96</v>
      </c>
      <c r="I24" s="326">
        <v>100.18</v>
      </c>
      <c r="J24" s="326">
        <v>141.13</v>
      </c>
      <c r="K24" s="326">
        <v>131.12</v>
      </c>
      <c r="L24" s="326">
        <v>108.46</v>
      </c>
      <c r="M24" s="326">
        <v>103.97</v>
      </c>
      <c r="N24" s="327">
        <v>1387.74</v>
      </c>
    </row>
    <row r="25" spans="1:14">
      <c r="A25" s="325" t="s">
        <v>432</v>
      </c>
      <c r="B25" s="326">
        <v>0</v>
      </c>
      <c r="C25" s="326">
        <v>0</v>
      </c>
      <c r="D25" s="326">
        <v>0</v>
      </c>
      <c r="E25" s="326">
        <v>0</v>
      </c>
      <c r="F25" s="326">
        <v>0</v>
      </c>
      <c r="G25" s="326">
        <v>0</v>
      </c>
      <c r="H25" s="326">
        <v>26.89</v>
      </c>
      <c r="I25" s="326">
        <v>41.34</v>
      </c>
      <c r="J25" s="326">
        <v>63.93</v>
      </c>
      <c r="K25" s="326">
        <v>47.7</v>
      </c>
      <c r="L25" s="326">
        <v>39.729999999999997</v>
      </c>
      <c r="M25" s="326">
        <v>47</v>
      </c>
      <c r="N25" s="327">
        <v>266.58999999999997</v>
      </c>
    </row>
    <row r="26" spans="1:14">
      <c r="A26" s="325" t="s">
        <v>433</v>
      </c>
      <c r="B26" s="326">
        <v>0</v>
      </c>
      <c r="C26" s="326">
        <v>0</v>
      </c>
      <c r="D26" s="326">
        <v>0</v>
      </c>
      <c r="E26" s="326">
        <v>0</v>
      </c>
      <c r="F26" s="326">
        <v>0</v>
      </c>
      <c r="G26" s="326">
        <v>0</v>
      </c>
      <c r="H26" s="326">
        <v>18.2</v>
      </c>
      <c r="I26" s="326">
        <v>33.49</v>
      </c>
      <c r="J26" s="326">
        <v>56.55</v>
      </c>
      <c r="K26" s="326">
        <v>61.57</v>
      </c>
      <c r="L26" s="326">
        <v>67.2</v>
      </c>
      <c r="M26" s="326">
        <v>73.55</v>
      </c>
      <c r="N26" s="327">
        <v>310.56</v>
      </c>
    </row>
    <row r="27" spans="1:14">
      <c r="A27" s="325" t="s">
        <v>434</v>
      </c>
      <c r="B27" s="326">
        <v>0</v>
      </c>
      <c r="C27" s="326">
        <v>0</v>
      </c>
      <c r="D27" s="326">
        <v>0</v>
      </c>
      <c r="E27" s="326">
        <v>0</v>
      </c>
      <c r="F27" s="326">
        <v>0</v>
      </c>
      <c r="G27" s="326">
        <v>0</v>
      </c>
      <c r="H27" s="326">
        <v>0</v>
      </c>
      <c r="I27" s="326">
        <v>0</v>
      </c>
      <c r="J27" s="326">
        <v>4.8499999999999996</v>
      </c>
      <c r="K27" s="326">
        <v>5.95</v>
      </c>
      <c r="L27" s="326">
        <v>8.82</v>
      </c>
      <c r="M27" s="326">
        <v>5.47</v>
      </c>
      <c r="N27" s="327">
        <v>25.09</v>
      </c>
    </row>
    <row r="28" spans="1:14">
      <c r="A28" s="325" t="s">
        <v>435</v>
      </c>
      <c r="B28" s="326">
        <v>0</v>
      </c>
      <c r="C28" s="326">
        <v>0</v>
      </c>
      <c r="D28" s="326">
        <v>0</v>
      </c>
      <c r="E28" s="326">
        <v>0</v>
      </c>
      <c r="F28" s="326">
        <v>0</v>
      </c>
      <c r="G28" s="326">
        <v>0</v>
      </c>
      <c r="H28" s="326">
        <v>0</v>
      </c>
      <c r="I28" s="326">
        <v>0</v>
      </c>
      <c r="J28" s="326">
        <v>4.8</v>
      </c>
      <c r="K28" s="326">
        <v>14.31</v>
      </c>
      <c r="L28" s="326">
        <v>30.87</v>
      </c>
      <c r="M28" s="326">
        <v>12.03</v>
      </c>
      <c r="N28" s="327">
        <v>62.01</v>
      </c>
    </row>
    <row r="29" spans="1:14">
      <c r="A29" s="325" t="s">
        <v>436</v>
      </c>
      <c r="B29" s="326">
        <v>1.83</v>
      </c>
      <c r="C29" s="326">
        <v>2.16</v>
      </c>
      <c r="D29" s="326">
        <v>2.56</v>
      </c>
      <c r="E29" s="326">
        <v>2.79</v>
      </c>
      <c r="F29" s="326">
        <v>2.2599999999999998</v>
      </c>
      <c r="G29" s="326">
        <v>2.1800000000000002</v>
      </c>
      <c r="H29" s="326">
        <v>1.57</v>
      </c>
      <c r="I29" s="326">
        <v>1.4</v>
      </c>
      <c r="J29" s="326">
        <v>0</v>
      </c>
      <c r="K29" s="326">
        <v>6.18</v>
      </c>
      <c r="L29" s="326">
        <v>0.9</v>
      </c>
      <c r="M29" s="326">
        <v>0.65</v>
      </c>
      <c r="N29" s="327">
        <v>24.48</v>
      </c>
    </row>
    <row r="30" spans="1:14">
      <c r="A30" s="325" t="s">
        <v>437</v>
      </c>
      <c r="B30" s="326">
        <v>6.04</v>
      </c>
      <c r="C30" s="326">
        <v>7.28</v>
      </c>
      <c r="D30" s="326">
        <v>7.69</v>
      </c>
      <c r="E30" s="326">
        <v>8.58</v>
      </c>
      <c r="F30" s="326">
        <v>7.43</v>
      </c>
      <c r="G30" s="326">
        <v>10.26</v>
      </c>
      <c r="H30" s="326">
        <v>7.52</v>
      </c>
      <c r="I30" s="326">
        <v>9.35</v>
      </c>
      <c r="J30" s="326">
        <v>9.61</v>
      </c>
      <c r="K30" s="326">
        <v>10.27</v>
      </c>
      <c r="L30" s="326">
        <v>3.41</v>
      </c>
      <c r="M30" s="326">
        <v>3.89</v>
      </c>
      <c r="N30" s="327">
        <v>91.33</v>
      </c>
    </row>
    <row r="31" spans="1:14">
      <c r="A31" s="325" t="s">
        <v>438</v>
      </c>
      <c r="B31" s="326">
        <v>0</v>
      </c>
      <c r="C31" s="326">
        <v>0</v>
      </c>
      <c r="D31" s="326">
        <v>0</v>
      </c>
      <c r="E31" s="326">
        <v>0</v>
      </c>
      <c r="F31" s="326">
        <v>0</v>
      </c>
      <c r="G31" s="326">
        <v>0</v>
      </c>
      <c r="H31" s="326">
        <v>0</v>
      </c>
      <c r="I31" s="326">
        <v>0</v>
      </c>
      <c r="J31" s="326">
        <v>0</v>
      </c>
      <c r="K31" s="326">
        <v>0</v>
      </c>
      <c r="L31" s="326">
        <v>0</v>
      </c>
      <c r="M31" s="326">
        <v>0</v>
      </c>
      <c r="N31" s="327">
        <v>0</v>
      </c>
    </row>
    <row r="32" spans="1:14" ht="16.5" thickBot="1">
      <c r="A32" s="325" t="s">
        <v>439</v>
      </c>
      <c r="B32" s="326">
        <v>0</v>
      </c>
      <c r="C32" s="326">
        <v>0</v>
      </c>
      <c r="D32" s="326">
        <v>0</v>
      </c>
      <c r="E32" s="326">
        <v>0</v>
      </c>
      <c r="F32" s="326">
        <v>0</v>
      </c>
      <c r="G32" s="326">
        <v>0</v>
      </c>
      <c r="H32" s="326">
        <v>0</v>
      </c>
      <c r="I32" s="326">
        <v>0</v>
      </c>
      <c r="J32" s="326">
        <v>0</v>
      </c>
      <c r="K32" s="326">
        <v>0</v>
      </c>
      <c r="L32" s="326">
        <v>0</v>
      </c>
      <c r="M32" s="326">
        <v>0</v>
      </c>
      <c r="N32" s="327">
        <v>0</v>
      </c>
    </row>
    <row r="33" spans="1:14" ht="33" thickTop="1" thickBot="1">
      <c r="A33" s="323" t="s">
        <v>440</v>
      </c>
      <c r="B33" s="324">
        <v>123.35</v>
      </c>
      <c r="C33" s="324">
        <v>111.75</v>
      </c>
      <c r="D33" s="324">
        <v>125.22</v>
      </c>
      <c r="E33" s="324">
        <v>143.68</v>
      </c>
      <c r="F33" s="324">
        <v>131.52000000000001</v>
      </c>
      <c r="G33" s="324">
        <v>127.46</v>
      </c>
      <c r="H33" s="324">
        <v>155.13999999999999</v>
      </c>
      <c r="I33" s="324">
        <v>185.76</v>
      </c>
      <c r="J33" s="324">
        <v>280.87</v>
      </c>
      <c r="K33" s="324">
        <v>277.10000000000002</v>
      </c>
      <c r="L33" s="324">
        <v>259.39</v>
      </c>
      <c r="M33" s="324">
        <v>246.56</v>
      </c>
      <c r="N33" s="324">
        <v>2167.8000000000002</v>
      </c>
    </row>
    <row r="34" spans="1:14" ht="16.5" thickTop="1"/>
    <row r="35" spans="1:14" s="316" customFormat="1">
      <c r="A35" s="435" t="s">
        <v>450</v>
      </c>
      <c r="B35" s="435"/>
      <c r="C35" s="435"/>
      <c r="D35" s="435"/>
      <c r="E35" s="435"/>
      <c r="F35" s="435"/>
    </row>
    <row r="36" spans="1:14" s="316" customFormat="1">
      <c r="A36" s="435" t="s">
        <v>451</v>
      </c>
      <c r="B36" s="435"/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5"/>
    </row>
    <row r="37" spans="1:14" s="316" customFormat="1">
      <c r="A37" s="317"/>
      <c r="B37" s="317"/>
      <c r="C37" s="317"/>
      <c r="D37" s="317"/>
      <c r="E37" s="317"/>
      <c r="F37" s="317"/>
    </row>
    <row r="38" spans="1:14" s="316" customFormat="1">
      <c r="A38" s="317" t="s">
        <v>441</v>
      </c>
      <c r="B38" s="317" t="s">
        <v>442</v>
      </c>
      <c r="C38" s="317"/>
      <c r="D38" s="317"/>
      <c r="E38" s="317"/>
      <c r="F38" s="317"/>
    </row>
    <row r="39" spans="1:14" ht="16.5" thickBot="1"/>
    <row r="40" spans="1:14" ht="48.75" thickTop="1" thickBot="1">
      <c r="A40" s="318" t="s">
        <v>429</v>
      </c>
      <c r="B40" s="319" t="s">
        <v>20</v>
      </c>
      <c r="C40" s="319" t="s">
        <v>21</v>
      </c>
      <c r="D40" s="319" t="s">
        <v>22</v>
      </c>
      <c r="E40" s="319" t="s">
        <v>23</v>
      </c>
      <c r="F40" s="319" t="s">
        <v>24</v>
      </c>
      <c r="G40" s="319" t="s">
        <v>25</v>
      </c>
      <c r="H40" s="319" t="s">
        <v>26</v>
      </c>
      <c r="I40" s="319" t="s">
        <v>27</v>
      </c>
      <c r="J40" s="319" t="s">
        <v>28</v>
      </c>
      <c r="K40" s="319" t="s">
        <v>29</v>
      </c>
      <c r="L40" s="319" t="s">
        <v>30</v>
      </c>
      <c r="M40" s="319" t="s">
        <v>510</v>
      </c>
      <c r="N40" s="319" t="s">
        <v>430</v>
      </c>
    </row>
    <row r="41" spans="1:14" ht="16.5" thickTop="1">
      <c r="A41" s="328" t="s">
        <v>431</v>
      </c>
      <c r="B41" s="95">
        <v>2136380</v>
      </c>
      <c r="C41" s="95">
        <v>1892735</v>
      </c>
      <c r="D41" s="95">
        <v>2126945</v>
      </c>
      <c r="E41" s="95">
        <v>2447735</v>
      </c>
      <c r="F41" s="95">
        <v>2253855</v>
      </c>
      <c r="G41" s="95">
        <v>2127796</v>
      </c>
      <c r="H41" s="95">
        <v>1867760</v>
      </c>
      <c r="I41" s="95">
        <v>1853330</v>
      </c>
      <c r="J41" s="95">
        <v>2610905</v>
      </c>
      <c r="K41" s="95">
        <v>2425720</v>
      </c>
      <c r="L41" s="95">
        <v>2006510</v>
      </c>
      <c r="M41" s="95">
        <v>1923445</v>
      </c>
      <c r="N41" s="95">
        <f>SUM(B41:M41)</f>
        <v>25673116</v>
      </c>
    </row>
    <row r="42" spans="1:14">
      <c r="A42" s="328" t="s">
        <v>432</v>
      </c>
      <c r="B42" s="95">
        <v>0</v>
      </c>
      <c r="C42" s="95">
        <v>0</v>
      </c>
      <c r="D42" s="95">
        <v>0</v>
      </c>
      <c r="E42" s="95">
        <v>0</v>
      </c>
      <c r="F42" s="95">
        <v>0</v>
      </c>
      <c r="G42" s="95">
        <v>0</v>
      </c>
      <c r="H42" s="95">
        <v>578135</v>
      </c>
      <c r="I42" s="95">
        <v>888810</v>
      </c>
      <c r="J42" s="95">
        <v>1374495</v>
      </c>
      <c r="K42" s="95">
        <v>1025550</v>
      </c>
      <c r="L42" s="95">
        <v>854195</v>
      </c>
      <c r="M42" s="95">
        <v>1010500</v>
      </c>
      <c r="N42" s="95">
        <f t="shared" ref="N42:N49" si="0">SUM(B42:M42)</f>
        <v>5731685</v>
      </c>
    </row>
    <row r="43" spans="1:14">
      <c r="A43" s="328" t="s">
        <v>433</v>
      </c>
      <c r="B43" s="95">
        <v>0</v>
      </c>
      <c r="C43" s="95">
        <v>0</v>
      </c>
      <c r="D43" s="95">
        <v>0</v>
      </c>
      <c r="E43" s="95">
        <v>0</v>
      </c>
      <c r="F43" s="95">
        <v>0</v>
      </c>
      <c r="G43" s="95">
        <v>0</v>
      </c>
      <c r="H43" s="95">
        <v>391300</v>
      </c>
      <c r="I43" s="95">
        <v>720035</v>
      </c>
      <c r="J43" s="95">
        <v>1215825</v>
      </c>
      <c r="K43" s="95">
        <v>1323755</v>
      </c>
      <c r="L43" s="95">
        <v>1444800</v>
      </c>
      <c r="M43" s="95">
        <v>1581325</v>
      </c>
      <c r="N43" s="95">
        <f t="shared" si="0"/>
        <v>6677040</v>
      </c>
    </row>
    <row r="44" spans="1:14">
      <c r="A44" s="328" t="s">
        <v>434</v>
      </c>
      <c r="B44" s="95">
        <v>0</v>
      </c>
      <c r="C44" s="95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104275</v>
      </c>
      <c r="K44" s="95">
        <v>127925</v>
      </c>
      <c r="L44" s="95">
        <v>189630</v>
      </c>
      <c r="M44" s="95">
        <v>117605</v>
      </c>
      <c r="N44" s="95">
        <f t="shared" si="0"/>
        <v>539435</v>
      </c>
    </row>
    <row r="45" spans="1:14">
      <c r="A45" s="328" t="s">
        <v>435</v>
      </c>
      <c r="B45" s="95">
        <v>0</v>
      </c>
      <c r="C45" s="95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103200</v>
      </c>
      <c r="K45" s="95">
        <v>307665</v>
      </c>
      <c r="L45" s="95">
        <v>663705</v>
      </c>
      <c r="M45" s="95">
        <v>258645</v>
      </c>
      <c r="N45" s="95">
        <f t="shared" si="0"/>
        <v>1333215</v>
      </c>
    </row>
    <row r="46" spans="1:14">
      <c r="A46" s="328" t="s">
        <v>436</v>
      </c>
      <c r="B46" s="95">
        <v>24705</v>
      </c>
      <c r="C46" s="95">
        <v>29160</v>
      </c>
      <c r="D46" s="95">
        <v>34560</v>
      </c>
      <c r="E46" s="95">
        <v>37665</v>
      </c>
      <c r="F46" s="95">
        <v>30510</v>
      </c>
      <c r="G46" s="95">
        <v>29430</v>
      </c>
      <c r="H46" s="95">
        <v>21195</v>
      </c>
      <c r="I46" s="95">
        <v>18900</v>
      </c>
      <c r="J46" s="95">
        <v>0</v>
      </c>
      <c r="K46" s="95">
        <v>83628</v>
      </c>
      <c r="L46" s="95">
        <v>13140</v>
      </c>
      <c r="M46" s="95">
        <v>9490</v>
      </c>
      <c r="N46" s="95">
        <f t="shared" si="0"/>
        <v>332383</v>
      </c>
    </row>
    <row r="47" spans="1:14">
      <c r="A47" s="328" t="s">
        <v>437</v>
      </c>
      <c r="B47" s="95">
        <v>81540</v>
      </c>
      <c r="C47" s="95">
        <v>98280</v>
      </c>
      <c r="D47" s="95">
        <v>103815</v>
      </c>
      <c r="E47" s="95">
        <v>115830</v>
      </c>
      <c r="F47" s="95">
        <v>100305</v>
      </c>
      <c r="G47" s="95">
        <v>138510</v>
      </c>
      <c r="H47" s="95">
        <v>101520</v>
      </c>
      <c r="I47" s="95">
        <v>126225</v>
      </c>
      <c r="J47" s="95">
        <v>129735</v>
      </c>
      <c r="K47" s="95">
        <v>139558</v>
      </c>
      <c r="L47" s="95">
        <v>49786</v>
      </c>
      <c r="M47" s="95">
        <v>56794</v>
      </c>
      <c r="N47" s="95">
        <f t="shared" si="0"/>
        <v>1241898</v>
      </c>
    </row>
    <row r="48" spans="1:14">
      <c r="A48" s="328" t="s">
        <v>438</v>
      </c>
      <c r="B48" s="95">
        <v>0</v>
      </c>
      <c r="C48" s="95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f t="shared" si="0"/>
        <v>0</v>
      </c>
    </row>
    <row r="49" spans="1:14" ht="16.5" thickBot="1">
      <c r="A49" s="328" t="s">
        <v>439</v>
      </c>
      <c r="B49" s="95">
        <v>0</v>
      </c>
      <c r="C49" s="95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f t="shared" si="0"/>
        <v>0</v>
      </c>
    </row>
    <row r="50" spans="1:14" ht="33" thickTop="1" thickBot="1">
      <c r="A50" s="323" t="s">
        <v>440</v>
      </c>
      <c r="B50" s="329">
        <f t="shared" ref="B50:N50" si="1">SUM(B41:B49)</f>
        <v>2242625</v>
      </c>
      <c r="C50" s="329">
        <f t="shared" si="1"/>
        <v>2020175</v>
      </c>
      <c r="D50" s="329">
        <f t="shared" si="1"/>
        <v>2265320</v>
      </c>
      <c r="E50" s="329">
        <f t="shared" si="1"/>
        <v>2601230</v>
      </c>
      <c r="F50" s="329">
        <f t="shared" si="1"/>
        <v>2384670</v>
      </c>
      <c r="G50" s="329">
        <f t="shared" si="1"/>
        <v>2295736</v>
      </c>
      <c r="H50" s="329">
        <f t="shared" si="1"/>
        <v>2959910</v>
      </c>
      <c r="I50" s="329">
        <f t="shared" si="1"/>
        <v>3607300</v>
      </c>
      <c r="J50" s="329">
        <f t="shared" si="1"/>
        <v>5538435</v>
      </c>
      <c r="K50" s="329">
        <f t="shared" si="1"/>
        <v>5433801</v>
      </c>
      <c r="L50" s="329">
        <f t="shared" si="1"/>
        <v>5221766</v>
      </c>
      <c r="M50" s="329">
        <f t="shared" si="1"/>
        <v>4957804</v>
      </c>
      <c r="N50" s="329">
        <f t="shared" si="1"/>
        <v>41528772</v>
      </c>
    </row>
    <row r="51" spans="1:14" ht="16.5" thickTop="1">
      <c r="B51" s="330"/>
    </row>
    <row r="52" spans="1:14" s="316" customFormat="1">
      <c r="A52" s="435" t="s">
        <v>452</v>
      </c>
      <c r="B52" s="435"/>
      <c r="C52" s="435"/>
      <c r="D52" s="435"/>
      <c r="E52" s="435"/>
      <c r="F52" s="435"/>
    </row>
    <row r="53" spans="1:14" s="316" customFormat="1">
      <c r="A53" s="435" t="s">
        <v>453</v>
      </c>
      <c r="B53" s="435"/>
      <c r="C53" s="435"/>
      <c r="D53" s="435"/>
      <c r="E53" s="435"/>
      <c r="F53" s="435"/>
    </row>
    <row r="54" spans="1:14" s="316" customFormat="1">
      <c r="A54" s="317"/>
      <c r="B54" s="317"/>
      <c r="C54" s="317"/>
      <c r="D54" s="317"/>
      <c r="E54" s="317"/>
      <c r="F54" s="317"/>
    </row>
    <row r="55" spans="1:14" s="316" customFormat="1">
      <c r="A55" s="317" t="s">
        <v>427</v>
      </c>
      <c r="B55" s="317" t="s">
        <v>428</v>
      </c>
      <c r="C55" s="317"/>
      <c r="D55" s="317"/>
      <c r="E55" s="317"/>
      <c r="F55" s="317"/>
    </row>
    <row r="57" spans="1:14" ht="31.5">
      <c r="A57" s="331" t="s">
        <v>32</v>
      </c>
      <c r="B57" s="331" t="s">
        <v>443</v>
      </c>
    </row>
    <row r="58" spans="1:14" ht="47.25">
      <c r="A58" s="332" t="s">
        <v>20</v>
      </c>
      <c r="B58" s="333">
        <v>307.77999999999997</v>
      </c>
    </row>
    <row r="59" spans="1:14" ht="47.25">
      <c r="A59" s="332" t="s">
        <v>21</v>
      </c>
      <c r="B59" s="333">
        <v>254.63</v>
      </c>
    </row>
    <row r="60" spans="1:14" ht="31.5">
      <c r="A60" s="332" t="s">
        <v>22</v>
      </c>
      <c r="B60" s="333">
        <v>421.73</v>
      </c>
    </row>
    <row r="61" spans="1:14" ht="31.5">
      <c r="A61" s="332" t="s">
        <v>23</v>
      </c>
      <c r="B61" s="333">
        <v>488.98</v>
      </c>
    </row>
    <row r="62" spans="1:14" ht="31.5">
      <c r="A62" s="332" t="s">
        <v>24</v>
      </c>
      <c r="B62" s="333">
        <v>451.54</v>
      </c>
    </row>
    <row r="63" spans="1:14" ht="31.5">
      <c r="A63" s="332" t="s">
        <v>25</v>
      </c>
      <c r="B63" s="333">
        <v>488.8</v>
      </c>
    </row>
    <row r="64" spans="1:14" ht="31.5">
      <c r="A64" s="332" t="s">
        <v>26</v>
      </c>
      <c r="B64" s="333">
        <v>633.9</v>
      </c>
    </row>
    <row r="65" spans="1:11" ht="31.5">
      <c r="A65" s="332" t="s">
        <v>27</v>
      </c>
      <c r="B65" s="333">
        <v>607</v>
      </c>
    </row>
    <row r="66" spans="1:11" ht="47.25">
      <c r="A66" s="332" t="s">
        <v>28</v>
      </c>
      <c r="B66" s="333">
        <v>777.55</v>
      </c>
    </row>
    <row r="67" spans="1:11" ht="47.25">
      <c r="A67" s="332" t="s">
        <v>29</v>
      </c>
      <c r="B67" s="333">
        <v>532.44000000000005</v>
      </c>
    </row>
    <row r="68" spans="1:11" ht="63">
      <c r="A68" s="332" t="s">
        <v>30</v>
      </c>
      <c r="B68" s="333">
        <v>391.79</v>
      </c>
    </row>
    <row r="69" spans="1:11" ht="63">
      <c r="A69" s="332" t="s">
        <v>31</v>
      </c>
      <c r="B69" s="333">
        <v>693.72</v>
      </c>
    </row>
    <row r="70" spans="1:11" ht="31.5">
      <c r="A70" s="334" t="s">
        <v>430</v>
      </c>
      <c r="B70" s="335">
        <v>6049.86</v>
      </c>
    </row>
    <row r="72" spans="1:11" s="316" customFormat="1">
      <c r="A72" s="435" t="s">
        <v>454</v>
      </c>
      <c r="B72" s="435"/>
      <c r="C72" s="435"/>
      <c r="D72" s="435"/>
      <c r="E72" s="435"/>
      <c r="F72" s="435"/>
    </row>
    <row r="73" spans="1:11" s="316" customFormat="1">
      <c r="A73" s="317" t="s">
        <v>455</v>
      </c>
      <c r="B73" s="317"/>
      <c r="C73" s="317"/>
      <c r="D73" s="317"/>
      <c r="E73" s="317"/>
      <c r="F73" s="317"/>
      <c r="G73" s="340"/>
      <c r="H73" s="340"/>
      <c r="I73" s="340"/>
      <c r="J73" s="340"/>
      <c r="K73" s="340"/>
    </row>
    <row r="74" spans="1:11" s="316" customFormat="1">
      <c r="A74" s="317"/>
      <c r="B74" s="317"/>
      <c r="C74" s="317"/>
      <c r="D74" s="317"/>
      <c r="E74" s="317"/>
      <c r="F74" s="317"/>
    </row>
    <row r="75" spans="1:11" s="316" customFormat="1">
      <c r="A75" s="317" t="s">
        <v>441</v>
      </c>
      <c r="B75" s="317" t="s">
        <v>442</v>
      </c>
      <c r="C75" s="317"/>
      <c r="D75" s="317"/>
      <c r="E75" s="317"/>
      <c r="F75" s="317"/>
    </row>
    <row r="76" spans="1:11" ht="16.5" thickBot="1"/>
    <row r="77" spans="1:11" ht="33" thickTop="1" thickBot="1">
      <c r="A77" s="331" t="s">
        <v>32</v>
      </c>
      <c r="B77" s="336" t="s">
        <v>33</v>
      </c>
    </row>
    <row r="78" spans="1:11" ht="48.75" thickTop="1" thickBot="1">
      <c r="A78" s="337" t="s">
        <v>20</v>
      </c>
      <c r="B78" s="338">
        <v>22494772</v>
      </c>
    </row>
    <row r="79" spans="1:11" ht="48.75" thickTop="1" thickBot="1">
      <c r="A79" s="337" t="s">
        <v>21</v>
      </c>
      <c r="B79" s="338">
        <v>17566922</v>
      </c>
    </row>
    <row r="80" spans="1:11" ht="33" thickTop="1" thickBot="1">
      <c r="A80" s="337" t="s">
        <v>22</v>
      </c>
      <c r="B80" s="338">
        <v>30615936</v>
      </c>
    </row>
    <row r="81" spans="1:6" ht="33" thickTop="1" thickBot="1">
      <c r="A81" s="337" t="s">
        <v>23</v>
      </c>
      <c r="B81" s="338">
        <v>34347093</v>
      </c>
    </row>
    <row r="82" spans="1:6" ht="33" thickTop="1" thickBot="1">
      <c r="A82" s="337" t="s">
        <v>24</v>
      </c>
      <c r="B82" s="338">
        <v>30520185</v>
      </c>
    </row>
    <row r="83" spans="1:6" ht="33" thickTop="1" thickBot="1">
      <c r="A83" s="337" t="s">
        <v>25</v>
      </c>
      <c r="B83" s="338">
        <v>34247973</v>
      </c>
    </row>
    <row r="84" spans="1:6" ht="33" thickTop="1" thickBot="1">
      <c r="A84" s="337" t="s">
        <v>26</v>
      </c>
      <c r="B84" s="338">
        <v>46612705</v>
      </c>
    </row>
    <row r="85" spans="1:6" ht="33" thickTop="1" thickBot="1">
      <c r="A85" s="337" t="s">
        <v>27</v>
      </c>
      <c r="B85" s="338">
        <v>43344120</v>
      </c>
    </row>
    <row r="86" spans="1:6" ht="48.75" thickTop="1" thickBot="1">
      <c r="A86" s="337" t="s">
        <v>28</v>
      </c>
      <c r="B86" s="338">
        <v>37590665</v>
      </c>
    </row>
    <row r="87" spans="1:6" ht="48.75" thickTop="1" thickBot="1">
      <c r="A87" s="337" t="s">
        <v>29</v>
      </c>
      <c r="B87" s="338">
        <v>47872842</v>
      </c>
    </row>
    <row r="88" spans="1:6" ht="64.5" thickTop="1" thickBot="1">
      <c r="A88" s="337" t="s">
        <v>30</v>
      </c>
      <c r="B88" s="338">
        <v>27545040</v>
      </c>
    </row>
    <row r="89" spans="1:6" ht="64.5" thickTop="1" thickBot="1">
      <c r="A89" s="337" t="s">
        <v>31</v>
      </c>
      <c r="B89" s="338">
        <v>49490411</v>
      </c>
    </row>
    <row r="90" spans="1:6" ht="33" thickTop="1" thickBot="1">
      <c r="A90" s="334" t="s">
        <v>430</v>
      </c>
      <c r="B90" s="339">
        <f>SUM(B78:B89)</f>
        <v>422248664</v>
      </c>
    </row>
    <row r="91" spans="1:6" ht="16.5" thickTop="1"/>
    <row r="92" spans="1:6" s="316" customFormat="1">
      <c r="A92" s="341" t="s">
        <v>444</v>
      </c>
      <c r="B92" s="341"/>
    </row>
    <row r="93" spans="1:6" s="316" customFormat="1">
      <c r="A93" s="340" t="s">
        <v>445</v>
      </c>
      <c r="B93" s="340"/>
      <c r="C93" s="340"/>
      <c r="D93" s="340"/>
      <c r="E93" s="340"/>
      <c r="F93" s="340"/>
    </row>
  </sheetData>
  <mergeCells count="9">
    <mergeCell ref="A52:F52"/>
    <mergeCell ref="A53:F53"/>
    <mergeCell ref="A72:F72"/>
    <mergeCell ref="A1:F1"/>
    <mergeCell ref="A18:F18"/>
    <mergeCell ref="A35:F35"/>
    <mergeCell ref="A2:L2"/>
    <mergeCell ref="A36:N36"/>
    <mergeCell ref="A19:H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81"/>
  <sheetViews>
    <sheetView rightToLeft="1" workbookViewId="0">
      <selection activeCell="O10" sqref="O10"/>
    </sheetView>
  </sheetViews>
  <sheetFormatPr defaultColWidth="9" defaultRowHeight="15.75"/>
  <cols>
    <col min="1" max="1" width="41.42578125" style="87" customWidth="1"/>
    <col min="2" max="2" width="30.140625" style="87" customWidth="1"/>
    <col min="3" max="3" width="24.7109375" style="87" customWidth="1"/>
    <col min="4" max="9" width="9" style="87"/>
    <col min="10" max="10" width="12.28515625" style="87" customWidth="1"/>
    <col min="11" max="11" width="13.140625" style="87" customWidth="1"/>
    <col min="12" max="12" width="11.5703125" style="87" customWidth="1"/>
    <col min="13" max="13" width="11.28515625" style="87" customWidth="1"/>
    <col min="14" max="14" width="11.85546875" style="87" customWidth="1"/>
    <col min="15" max="16384" width="9" style="87"/>
  </cols>
  <sheetData>
    <row r="1" spans="1:14" s="316" customFormat="1">
      <c r="A1" s="435" t="s">
        <v>462</v>
      </c>
      <c r="B1" s="435"/>
      <c r="C1" s="435"/>
      <c r="D1" s="435"/>
      <c r="E1" s="435"/>
      <c r="F1" s="435"/>
    </row>
    <row r="2" spans="1:14" s="316" customFormat="1">
      <c r="A2" s="317" t="s">
        <v>463</v>
      </c>
      <c r="B2" s="317"/>
      <c r="C2" s="317"/>
      <c r="D2" s="317"/>
      <c r="E2" s="317"/>
      <c r="F2" s="317"/>
      <c r="G2" s="340"/>
      <c r="H2" s="340"/>
      <c r="I2" s="340"/>
      <c r="J2" s="340"/>
      <c r="K2" s="340"/>
    </row>
    <row r="3" spans="1:14" s="316" customFormat="1">
      <c r="A3" s="317"/>
      <c r="B3" s="317"/>
      <c r="C3" s="317"/>
      <c r="D3" s="317"/>
      <c r="E3" s="317"/>
      <c r="F3" s="317"/>
    </row>
    <row r="4" spans="1:14" s="316" customFormat="1">
      <c r="A4" s="317" t="s">
        <v>427</v>
      </c>
      <c r="B4" s="317" t="s">
        <v>428</v>
      </c>
      <c r="C4" s="317"/>
      <c r="D4" s="317"/>
      <c r="E4" s="317"/>
      <c r="F4" s="317"/>
    </row>
    <row r="5" spans="1:14" ht="16.5" thickBot="1"/>
    <row r="6" spans="1:14" ht="111.75" thickTop="1" thickBot="1">
      <c r="A6" s="318" t="s">
        <v>456</v>
      </c>
      <c r="B6" s="319" t="s">
        <v>20</v>
      </c>
      <c r="C6" s="319" t="s">
        <v>21</v>
      </c>
      <c r="D6" s="319" t="s">
        <v>22</v>
      </c>
      <c r="E6" s="319" t="s">
        <v>23</v>
      </c>
      <c r="F6" s="319" t="s">
        <v>24</v>
      </c>
      <c r="G6" s="319" t="s">
        <v>25</v>
      </c>
      <c r="H6" s="319" t="s">
        <v>26</v>
      </c>
      <c r="I6" s="319" t="s">
        <v>27</v>
      </c>
      <c r="J6" s="319" t="s">
        <v>28</v>
      </c>
      <c r="K6" s="319" t="s">
        <v>29</v>
      </c>
      <c r="L6" s="319" t="s">
        <v>30</v>
      </c>
      <c r="M6" s="319" t="s">
        <v>31</v>
      </c>
      <c r="N6" s="319" t="s">
        <v>430</v>
      </c>
    </row>
    <row r="7" spans="1:14" ht="16.5" thickTop="1">
      <c r="A7" s="325" t="s">
        <v>457</v>
      </c>
      <c r="B7" s="326">
        <v>0</v>
      </c>
      <c r="C7" s="326">
        <v>0</v>
      </c>
      <c r="D7" s="326">
        <v>0</v>
      </c>
      <c r="E7" s="326">
        <v>0</v>
      </c>
      <c r="F7" s="326">
        <v>0</v>
      </c>
      <c r="G7" s="326">
        <v>0</v>
      </c>
      <c r="H7" s="326">
        <v>0</v>
      </c>
      <c r="I7" s="326">
        <v>0</v>
      </c>
      <c r="J7" s="326">
        <v>0</v>
      </c>
      <c r="K7" s="326">
        <v>0</v>
      </c>
      <c r="L7" s="326">
        <v>0</v>
      </c>
      <c r="M7" s="326">
        <v>0</v>
      </c>
      <c r="N7" s="327">
        <v>0</v>
      </c>
    </row>
    <row r="8" spans="1:14">
      <c r="A8" s="325" t="s">
        <v>458</v>
      </c>
      <c r="B8" s="326">
        <v>9.1999999999999993</v>
      </c>
      <c r="C8" s="326">
        <v>12.1</v>
      </c>
      <c r="D8" s="326">
        <v>12.3</v>
      </c>
      <c r="E8" s="326">
        <v>15.8</v>
      </c>
      <c r="F8" s="326">
        <v>10.67</v>
      </c>
      <c r="G8" s="326">
        <v>8.6</v>
      </c>
      <c r="H8" s="326">
        <v>13</v>
      </c>
      <c r="I8" s="326">
        <v>12.8</v>
      </c>
      <c r="J8" s="326">
        <v>9</v>
      </c>
      <c r="K8" s="326">
        <v>18.7</v>
      </c>
      <c r="L8" s="326">
        <v>21</v>
      </c>
      <c r="M8" s="326">
        <v>0</v>
      </c>
      <c r="N8" s="327">
        <v>143.16999999999999</v>
      </c>
    </row>
    <row r="9" spans="1:14">
      <c r="A9" s="325" t="s">
        <v>459</v>
      </c>
      <c r="B9" s="326">
        <v>0</v>
      </c>
      <c r="C9" s="326">
        <v>0</v>
      </c>
      <c r="D9" s="326">
        <v>0</v>
      </c>
      <c r="E9" s="326">
        <v>0</v>
      </c>
      <c r="F9" s="326">
        <v>0</v>
      </c>
      <c r="G9" s="326">
        <v>0</v>
      </c>
      <c r="H9" s="326">
        <v>0</v>
      </c>
      <c r="I9" s="326">
        <v>0</v>
      </c>
      <c r="J9" s="326">
        <v>0</v>
      </c>
      <c r="K9" s="326">
        <v>0</v>
      </c>
      <c r="L9" s="326">
        <v>0</v>
      </c>
      <c r="M9" s="326">
        <v>0</v>
      </c>
      <c r="N9" s="327">
        <v>0</v>
      </c>
    </row>
    <row r="10" spans="1:14">
      <c r="A10" s="325" t="s">
        <v>460</v>
      </c>
      <c r="B10" s="326">
        <v>0</v>
      </c>
      <c r="C10" s="326">
        <v>0</v>
      </c>
      <c r="D10" s="326">
        <v>0</v>
      </c>
      <c r="E10" s="326">
        <v>0</v>
      </c>
      <c r="F10" s="326">
        <v>0</v>
      </c>
      <c r="G10" s="326">
        <v>0</v>
      </c>
      <c r="H10" s="326">
        <v>0</v>
      </c>
      <c r="I10" s="326">
        <v>0</v>
      </c>
      <c r="J10" s="326">
        <v>0</v>
      </c>
      <c r="K10" s="326">
        <v>0</v>
      </c>
      <c r="L10" s="326">
        <v>0</v>
      </c>
      <c r="M10" s="326">
        <v>0</v>
      </c>
      <c r="N10" s="327">
        <v>0</v>
      </c>
    </row>
    <row r="11" spans="1:14" ht="16.5" thickBot="1">
      <c r="A11" s="325" t="s">
        <v>461</v>
      </c>
      <c r="B11" s="326">
        <v>0</v>
      </c>
      <c r="C11" s="326">
        <v>0</v>
      </c>
      <c r="D11" s="326">
        <v>0</v>
      </c>
      <c r="E11" s="326">
        <v>0</v>
      </c>
      <c r="F11" s="326">
        <v>0</v>
      </c>
      <c r="G11" s="326">
        <v>0</v>
      </c>
      <c r="H11" s="326">
        <v>0</v>
      </c>
      <c r="I11" s="326">
        <v>0</v>
      </c>
      <c r="J11" s="326">
        <v>0</v>
      </c>
      <c r="K11" s="326">
        <v>0</v>
      </c>
      <c r="L11" s="326">
        <v>0</v>
      </c>
      <c r="M11" s="326">
        <v>0</v>
      </c>
      <c r="N11" s="327">
        <v>0</v>
      </c>
    </row>
    <row r="12" spans="1:14" ht="33" thickTop="1" thickBot="1">
      <c r="A12" s="323" t="s">
        <v>440</v>
      </c>
      <c r="B12" s="324">
        <v>9.1999999999999993</v>
      </c>
      <c r="C12" s="324">
        <v>12.1</v>
      </c>
      <c r="D12" s="324">
        <v>12.3</v>
      </c>
      <c r="E12" s="324">
        <v>15.8</v>
      </c>
      <c r="F12" s="324">
        <v>10.67</v>
      </c>
      <c r="G12" s="324">
        <v>8.6</v>
      </c>
      <c r="H12" s="324">
        <v>13</v>
      </c>
      <c r="I12" s="324">
        <v>12.8</v>
      </c>
      <c r="J12" s="324">
        <v>9</v>
      </c>
      <c r="K12" s="324">
        <v>18.7</v>
      </c>
      <c r="L12" s="324">
        <v>21</v>
      </c>
      <c r="M12" s="324">
        <v>0</v>
      </c>
      <c r="N12" s="324">
        <v>143.16999999999999</v>
      </c>
    </row>
    <row r="13" spans="1:14" ht="16.5" thickTop="1"/>
    <row r="14" spans="1:14" s="316" customFormat="1">
      <c r="A14" s="435" t="s">
        <v>464</v>
      </c>
      <c r="B14" s="435"/>
      <c r="C14" s="435"/>
      <c r="D14" s="435"/>
      <c r="E14" s="435"/>
      <c r="F14" s="435"/>
    </row>
    <row r="15" spans="1:14" s="316" customFormat="1">
      <c r="A15" s="435" t="s">
        <v>465</v>
      </c>
      <c r="B15" s="435"/>
      <c r="C15" s="435"/>
      <c r="D15" s="435"/>
      <c r="E15" s="435"/>
      <c r="F15" s="435"/>
    </row>
    <row r="16" spans="1:14" s="316" customFormat="1">
      <c r="A16" s="317"/>
      <c r="B16" s="317"/>
      <c r="C16" s="317"/>
      <c r="D16" s="317"/>
      <c r="E16" s="317"/>
      <c r="F16" s="317"/>
    </row>
    <row r="17" spans="1:14" s="316" customFormat="1">
      <c r="A17" s="317" t="s">
        <v>427</v>
      </c>
      <c r="B17" s="317" t="s">
        <v>428</v>
      </c>
      <c r="C17" s="317"/>
      <c r="D17" s="317"/>
      <c r="E17" s="317"/>
      <c r="F17" s="317"/>
    </row>
    <row r="18" spans="1:14" ht="16.5" thickBot="1"/>
    <row r="19" spans="1:14" ht="111.75" thickTop="1" thickBot="1">
      <c r="A19" s="318" t="s">
        <v>456</v>
      </c>
      <c r="B19" s="319" t="s">
        <v>20</v>
      </c>
      <c r="C19" s="319" t="s">
        <v>21</v>
      </c>
      <c r="D19" s="319" t="s">
        <v>22</v>
      </c>
      <c r="E19" s="319" t="s">
        <v>23</v>
      </c>
      <c r="F19" s="319" t="s">
        <v>24</v>
      </c>
      <c r="G19" s="319" t="s">
        <v>25</v>
      </c>
      <c r="H19" s="319" t="s">
        <v>26</v>
      </c>
      <c r="I19" s="319" t="s">
        <v>27</v>
      </c>
      <c r="J19" s="319" t="s">
        <v>28</v>
      </c>
      <c r="K19" s="319" t="s">
        <v>29</v>
      </c>
      <c r="L19" s="319" t="s">
        <v>30</v>
      </c>
      <c r="M19" s="319" t="s">
        <v>31</v>
      </c>
      <c r="N19" s="319" t="s">
        <v>430</v>
      </c>
    </row>
    <row r="20" spans="1:14" ht="16.5" thickTop="1">
      <c r="A20" s="342" t="s">
        <v>457</v>
      </c>
      <c r="B20" s="343">
        <v>0</v>
      </c>
      <c r="C20" s="343">
        <v>0</v>
      </c>
      <c r="D20" s="343">
        <v>0</v>
      </c>
      <c r="E20" s="343">
        <v>0</v>
      </c>
      <c r="F20" s="343">
        <v>0</v>
      </c>
      <c r="G20" s="343">
        <v>0</v>
      </c>
      <c r="H20" s="343">
        <v>0</v>
      </c>
      <c r="I20" s="343">
        <v>0</v>
      </c>
      <c r="J20" s="343">
        <v>0</v>
      </c>
      <c r="K20" s="343">
        <v>0</v>
      </c>
      <c r="L20" s="343">
        <v>0</v>
      </c>
      <c r="M20" s="343">
        <v>0</v>
      </c>
      <c r="N20" s="344">
        <v>0</v>
      </c>
    </row>
    <row r="21" spans="1:14">
      <c r="A21" s="342" t="s">
        <v>458</v>
      </c>
      <c r="B21" s="343">
        <v>14.07</v>
      </c>
      <c r="C21" s="343">
        <v>10.36</v>
      </c>
      <c r="D21" s="343">
        <v>12.58</v>
      </c>
      <c r="E21" s="343">
        <v>14.7</v>
      </c>
      <c r="F21" s="343">
        <v>13.91</v>
      </c>
      <c r="G21" s="343">
        <v>12.72</v>
      </c>
      <c r="H21" s="343">
        <v>13.35</v>
      </c>
      <c r="I21" s="343">
        <v>12.75</v>
      </c>
      <c r="J21" s="343">
        <v>13.11</v>
      </c>
      <c r="K21" s="343">
        <v>14.96</v>
      </c>
      <c r="L21" s="343">
        <v>12.88</v>
      </c>
      <c r="M21" s="343">
        <v>11.86</v>
      </c>
      <c r="N21" s="344">
        <v>157.25</v>
      </c>
    </row>
    <row r="22" spans="1:14">
      <c r="A22" s="342" t="s">
        <v>459</v>
      </c>
      <c r="B22" s="343">
        <v>0</v>
      </c>
      <c r="C22" s="343">
        <v>0</v>
      </c>
      <c r="D22" s="343">
        <v>0</v>
      </c>
      <c r="E22" s="343">
        <v>0</v>
      </c>
      <c r="F22" s="343">
        <v>0</v>
      </c>
      <c r="G22" s="343">
        <v>0</v>
      </c>
      <c r="H22" s="343">
        <v>0</v>
      </c>
      <c r="I22" s="343">
        <v>0</v>
      </c>
      <c r="J22" s="343">
        <v>0</v>
      </c>
      <c r="K22" s="343">
        <v>0</v>
      </c>
      <c r="L22" s="343">
        <v>0</v>
      </c>
      <c r="M22" s="343">
        <v>0</v>
      </c>
      <c r="N22" s="344">
        <v>0</v>
      </c>
    </row>
    <row r="23" spans="1:14">
      <c r="A23" s="342" t="s">
        <v>460</v>
      </c>
      <c r="B23" s="343">
        <v>0</v>
      </c>
      <c r="C23" s="343">
        <v>0</v>
      </c>
      <c r="D23" s="343">
        <v>0</v>
      </c>
      <c r="E23" s="343">
        <v>0</v>
      </c>
      <c r="F23" s="343">
        <v>0</v>
      </c>
      <c r="G23" s="343">
        <v>0</v>
      </c>
      <c r="H23" s="343">
        <v>0</v>
      </c>
      <c r="I23" s="343">
        <v>0</v>
      </c>
      <c r="J23" s="343">
        <v>0</v>
      </c>
      <c r="K23" s="343">
        <v>0</v>
      </c>
      <c r="L23" s="343">
        <v>0</v>
      </c>
      <c r="M23" s="343">
        <v>0</v>
      </c>
      <c r="N23" s="344">
        <v>0</v>
      </c>
    </row>
    <row r="24" spans="1:14" ht="16.5" thickBot="1">
      <c r="A24" s="342" t="s">
        <v>461</v>
      </c>
      <c r="B24" s="343">
        <v>0.13500000000000001</v>
      </c>
      <c r="C24" s="343">
        <v>3.5000000000000003E-2</v>
      </c>
      <c r="D24" s="343">
        <v>0.14000000000000001</v>
      </c>
      <c r="E24" s="343">
        <v>0.12</v>
      </c>
      <c r="F24" s="343">
        <v>7.4999999999999997E-2</v>
      </c>
      <c r="G24" s="343">
        <v>0.13</v>
      </c>
      <c r="H24" s="343">
        <v>5.5E-2</v>
      </c>
      <c r="I24" s="343">
        <v>0.12</v>
      </c>
      <c r="J24" s="343">
        <v>9.5000000000000001E-2</v>
      </c>
      <c r="K24" s="343">
        <v>0.105</v>
      </c>
      <c r="L24" s="343">
        <v>2.5000000000000001E-2</v>
      </c>
      <c r="M24" s="343">
        <v>0.12</v>
      </c>
      <c r="N24" s="344">
        <v>1.1549999999999998</v>
      </c>
    </row>
    <row r="25" spans="1:14" ht="33" thickTop="1" thickBot="1">
      <c r="A25" s="323" t="s">
        <v>440</v>
      </c>
      <c r="B25" s="345">
        <v>14.205</v>
      </c>
      <c r="C25" s="345">
        <v>10.395</v>
      </c>
      <c r="D25" s="345">
        <v>12.72</v>
      </c>
      <c r="E25" s="345">
        <v>14.82</v>
      </c>
      <c r="F25" s="345">
        <v>13.984999999999999</v>
      </c>
      <c r="G25" s="345">
        <v>12.85</v>
      </c>
      <c r="H25" s="345">
        <v>13.404999999999999</v>
      </c>
      <c r="I25" s="345">
        <v>12.87</v>
      </c>
      <c r="J25" s="345">
        <v>13.205</v>
      </c>
      <c r="K25" s="345">
        <v>15.065</v>
      </c>
      <c r="L25" s="345">
        <v>12.904999999999999</v>
      </c>
      <c r="M25" s="345">
        <v>11.98</v>
      </c>
      <c r="N25" s="345">
        <v>158.405</v>
      </c>
    </row>
    <row r="26" spans="1:14" ht="16.5" thickTop="1"/>
    <row r="27" spans="1:14" s="316" customFormat="1">
      <c r="A27" s="435" t="s">
        <v>466</v>
      </c>
      <c r="B27" s="435"/>
      <c r="C27" s="435"/>
      <c r="D27" s="435"/>
      <c r="E27" s="435"/>
      <c r="F27" s="435"/>
    </row>
    <row r="28" spans="1:14" s="316" customFormat="1">
      <c r="A28" s="317" t="s">
        <v>467</v>
      </c>
      <c r="B28" s="317"/>
      <c r="C28" s="317"/>
      <c r="D28" s="317"/>
      <c r="E28" s="317"/>
      <c r="F28" s="317"/>
      <c r="G28" s="340"/>
      <c r="H28" s="340"/>
      <c r="I28" s="340"/>
      <c r="J28" s="340"/>
    </row>
    <row r="29" spans="1:14" s="316" customFormat="1">
      <c r="A29" s="317"/>
      <c r="B29" s="317"/>
      <c r="C29" s="317"/>
      <c r="D29" s="317"/>
      <c r="E29" s="317"/>
      <c r="F29" s="317"/>
    </row>
    <row r="30" spans="1:14" s="316" customFormat="1">
      <c r="A30" s="317" t="s">
        <v>441</v>
      </c>
      <c r="B30" s="317" t="s">
        <v>442</v>
      </c>
      <c r="C30" s="317"/>
      <c r="D30" s="317"/>
      <c r="E30" s="317"/>
      <c r="F30" s="317"/>
    </row>
    <row r="31" spans="1:14" ht="16.5" thickBot="1"/>
    <row r="32" spans="1:14" ht="111.75" thickTop="1" thickBot="1">
      <c r="A32" s="318" t="s">
        <v>456</v>
      </c>
      <c r="B32" s="319" t="s">
        <v>20</v>
      </c>
      <c r="C32" s="319" t="s">
        <v>21</v>
      </c>
      <c r="D32" s="319" t="s">
        <v>22</v>
      </c>
      <c r="E32" s="319" t="s">
        <v>23</v>
      </c>
      <c r="F32" s="319" t="s">
        <v>24</v>
      </c>
      <c r="G32" s="319" t="s">
        <v>25</v>
      </c>
      <c r="H32" s="319" t="s">
        <v>26</v>
      </c>
      <c r="I32" s="319" t="s">
        <v>27</v>
      </c>
      <c r="J32" s="319" t="s">
        <v>28</v>
      </c>
      <c r="K32" s="319" t="s">
        <v>29</v>
      </c>
      <c r="L32" s="319" t="s">
        <v>30</v>
      </c>
      <c r="M32" s="319" t="s">
        <v>31</v>
      </c>
      <c r="N32" s="319" t="s">
        <v>430</v>
      </c>
    </row>
    <row r="33" spans="1:14" ht="16.5" thickTop="1">
      <c r="A33" s="325" t="s">
        <v>457</v>
      </c>
      <c r="B33" s="95">
        <v>0</v>
      </c>
      <c r="C33" s="95">
        <v>0</v>
      </c>
      <c r="D33" s="95">
        <v>0</v>
      </c>
      <c r="E33" s="95">
        <v>0</v>
      </c>
      <c r="F33" s="95">
        <v>0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183">
        <f>SUM(B33:M33)</f>
        <v>0</v>
      </c>
    </row>
    <row r="34" spans="1:14">
      <c r="A34" s="325" t="s">
        <v>458</v>
      </c>
      <c r="B34" s="95">
        <v>90048</v>
      </c>
      <c r="C34" s="95">
        <v>66304</v>
      </c>
      <c r="D34" s="95">
        <v>80512</v>
      </c>
      <c r="E34" s="95">
        <v>94080</v>
      </c>
      <c r="F34" s="95">
        <v>89024</v>
      </c>
      <c r="G34" s="95">
        <v>81408</v>
      </c>
      <c r="H34" s="95">
        <v>85440</v>
      </c>
      <c r="I34" s="95">
        <v>81600</v>
      </c>
      <c r="J34" s="95">
        <v>83904</v>
      </c>
      <c r="K34" s="95">
        <v>95744</v>
      </c>
      <c r="L34" s="95">
        <v>82432</v>
      </c>
      <c r="M34" s="95">
        <v>75904</v>
      </c>
      <c r="N34" s="183">
        <f>SUM(B34:M34)</f>
        <v>1006400</v>
      </c>
    </row>
    <row r="35" spans="1:14">
      <c r="A35" s="325" t="s">
        <v>459</v>
      </c>
      <c r="B35" s="95">
        <v>0</v>
      </c>
      <c r="C35" s="95">
        <v>0</v>
      </c>
      <c r="D35" s="95">
        <v>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183">
        <f>SUM(B35:M35)</f>
        <v>0</v>
      </c>
    </row>
    <row r="36" spans="1:14">
      <c r="A36" s="325" t="s">
        <v>460</v>
      </c>
      <c r="B36" s="95">
        <v>0</v>
      </c>
      <c r="C36" s="95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183">
        <f>SUM(B36:M36)</f>
        <v>0</v>
      </c>
    </row>
    <row r="37" spans="1:14" ht="16.5" thickBot="1">
      <c r="A37" s="325" t="s">
        <v>461</v>
      </c>
      <c r="B37" s="95">
        <v>864</v>
      </c>
      <c r="C37" s="95">
        <v>224</v>
      </c>
      <c r="D37" s="95">
        <v>896</v>
      </c>
      <c r="E37" s="95">
        <v>768</v>
      </c>
      <c r="F37" s="95">
        <v>480</v>
      </c>
      <c r="G37" s="95">
        <v>832</v>
      </c>
      <c r="H37" s="95">
        <v>352</v>
      </c>
      <c r="I37" s="95">
        <v>768</v>
      </c>
      <c r="J37" s="95">
        <v>608</v>
      </c>
      <c r="K37" s="95">
        <v>672</v>
      </c>
      <c r="L37" s="95">
        <v>160</v>
      </c>
      <c r="M37" s="95">
        <v>768</v>
      </c>
      <c r="N37" s="183">
        <f>SUM(B37:M37)</f>
        <v>7392</v>
      </c>
    </row>
    <row r="38" spans="1:14" ht="33" thickTop="1" thickBot="1">
      <c r="A38" s="323" t="s">
        <v>440</v>
      </c>
      <c r="B38" s="329">
        <f t="shared" ref="B38:N38" si="0">SUM(B33:B37)</f>
        <v>90912</v>
      </c>
      <c r="C38" s="329">
        <f t="shared" si="0"/>
        <v>66528</v>
      </c>
      <c r="D38" s="329">
        <f t="shared" si="0"/>
        <v>81408</v>
      </c>
      <c r="E38" s="329">
        <f t="shared" si="0"/>
        <v>94848</v>
      </c>
      <c r="F38" s="329">
        <f t="shared" si="0"/>
        <v>89504</v>
      </c>
      <c r="G38" s="329">
        <f t="shared" si="0"/>
        <v>82240</v>
      </c>
      <c r="H38" s="329">
        <f t="shared" si="0"/>
        <v>85792</v>
      </c>
      <c r="I38" s="329">
        <f t="shared" si="0"/>
        <v>82368</v>
      </c>
      <c r="J38" s="329">
        <f t="shared" si="0"/>
        <v>84512</v>
      </c>
      <c r="K38" s="329">
        <f t="shared" si="0"/>
        <v>96416</v>
      </c>
      <c r="L38" s="329">
        <f t="shared" si="0"/>
        <v>82592</v>
      </c>
      <c r="M38" s="329">
        <f t="shared" si="0"/>
        <v>76672</v>
      </c>
      <c r="N38" s="329">
        <f t="shared" si="0"/>
        <v>1013792</v>
      </c>
    </row>
    <row r="39" spans="1:14" ht="16.5" thickTop="1"/>
    <row r="40" spans="1:14" s="316" customFormat="1">
      <c r="A40" s="435" t="s">
        <v>468</v>
      </c>
      <c r="B40" s="435"/>
      <c r="C40" s="435"/>
      <c r="D40" s="435"/>
      <c r="E40" s="435"/>
      <c r="F40" s="435"/>
    </row>
    <row r="41" spans="1:14" s="316" customFormat="1">
      <c r="A41" s="435" t="s">
        <v>469</v>
      </c>
      <c r="B41" s="435"/>
      <c r="C41" s="435"/>
      <c r="D41" s="435"/>
      <c r="E41" s="435"/>
      <c r="F41" s="435"/>
    </row>
    <row r="42" spans="1:14" s="316" customFormat="1">
      <c r="A42" s="317"/>
      <c r="B42" s="317"/>
      <c r="C42" s="317"/>
      <c r="D42" s="317"/>
      <c r="E42" s="317"/>
      <c r="F42" s="317"/>
    </row>
    <row r="43" spans="1:14" s="316" customFormat="1">
      <c r="A43" s="317" t="s">
        <v>427</v>
      </c>
      <c r="B43" s="317" t="s">
        <v>428</v>
      </c>
      <c r="C43" s="317"/>
      <c r="D43" s="317"/>
      <c r="E43" s="317"/>
      <c r="F43" s="317"/>
    </row>
    <row r="45" spans="1:14" ht="31.5">
      <c r="A45" s="331" t="s">
        <v>32</v>
      </c>
      <c r="B45" s="331" t="s">
        <v>443</v>
      </c>
    </row>
    <row r="46" spans="1:14" ht="47.25">
      <c r="A46" s="332" t="s">
        <v>20</v>
      </c>
      <c r="B46" s="343">
        <v>205.946</v>
      </c>
    </row>
    <row r="47" spans="1:14" ht="47.25">
      <c r="A47" s="332" t="s">
        <v>21</v>
      </c>
      <c r="B47" s="343">
        <v>223.35400000000001</v>
      </c>
    </row>
    <row r="48" spans="1:14" ht="31.5">
      <c r="A48" s="332" t="s">
        <v>22</v>
      </c>
      <c r="B48" s="343">
        <v>278.14400000000001</v>
      </c>
    </row>
    <row r="49" spans="1:6" ht="31.5">
      <c r="A49" s="332" t="s">
        <v>23</v>
      </c>
      <c r="B49" s="343">
        <v>310.20699999999999</v>
      </c>
    </row>
    <row r="50" spans="1:6" ht="31.5">
      <c r="A50" s="332" t="s">
        <v>24</v>
      </c>
      <c r="B50" s="343">
        <v>261.88200000000001</v>
      </c>
    </row>
    <row r="51" spans="1:6" ht="31.5">
      <c r="A51" s="332" t="s">
        <v>25</v>
      </c>
      <c r="B51" s="343">
        <v>320.84399999999999</v>
      </c>
    </row>
    <row r="52" spans="1:6" ht="31.5">
      <c r="A52" s="332" t="s">
        <v>26</v>
      </c>
      <c r="B52" s="343">
        <v>239.845</v>
      </c>
    </row>
    <row r="53" spans="1:6" ht="31.5">
      <c r="A53" s="332" t="s">
        <v>27</v>
      </c>
      <c r="B53" s="343">
        <v>412.35599999999999</v>
      </c>
    </row>
    <row r="54" spans="1:6" ht="47.25">
      <c r="A54" s="332" t="s">
        <v>28</v>
      </c>
      <c r="B54" s="343">
        <v>324.983</v>
      </c>
    </row>
    <row r="55" spans="1:6" ht="47.25">
      <c r="A55" s="332" t="s">
        <v>29</v>
      </c>
      <c r="B55" s="343">
        <v>294.65199999999999</v>
      </c>
    </row>
    <row r="56" spans="1:6" ht="63">
      <c r="A56" s="332" t="s">
        <v>30</v>
      </c>
      <c r="B56" s="343">
        <v>242.24100000000001</v>
      </c>
    </row>
    <row r="57" spans="1:6" ht="63">
      <c r="A57" s="332" t="s">
        <v>31</v>
      </c>
      <c r="B57" s="343">
        <v>247.50800000000001</v>
      </c>
    </row>
    <row r="58" spans="1:6" ht="31.5">
      <c r="A58" s="334" t="s">
        <v>430</v>
      </c>
      <c r="B58" s="344">
        <v>3361.962</v>
      </c>
    </row>
    <row r="60" spans="1:6" s="316" customFormat="1">
      <c r="A60" s="435" t="s">
        <v>470</v>
      </c>
      <c r="B60" s="435"/>
      <c r="C60" s="435"/>
      <c r="D60" s="435"/>
      <c r="E60" s="435"/>
      <c r="F60" s="435"/>
    </row>
    <row r="61" spans="1:6" s="316" customFormat="1">
      <c r="A61" s="435" t="s">
        <v>471</v>
      </c>
      <c r="B61" s="435"/>
      <c r="C61" s="435"/>
      <c r="D61" s="435"/>
      <c r="E61" s="435"/>
      <c r="F61" s="435"/>
    </row>
    <row r="62" spans="1:6" s="316" customFormat="1">
      <c r="A62" s="317"/>
      <c r="B62" s="317"/>
      <c r="C62" s="317"/>
      <c r="D62" s="317"/>
      <c r="E62" s="317"/>
      <c r="F62" s="317"/>
    </row>
    <row r="63" spans="1:6" s="316" customFormat="1">
      <c r="A63" s="317" t="s">
        <v>441</v>
      </c>
      <c r="B63" s="317" t="s">
        <v>442</v>
      </c>
      <c r="C63" s="317"/>
      <c r="D63" s="317"/>
      <c r="E63" s="317"/>
      <c r="F63" s="317"/>
    </row>
    <row r="64" spans="1:6" ht="16.5" thickBot="1"/>
    <row r="65" spans="1:2" ht="33" thickTop="1" thickBot="1">
      <c r="A65" s="331" t="s">
        <v>32</v>
      </c>
      <c r="B65" s="336" t="s">
        <v>33</v>
      </c>
    </row>
    <row r="66" spans="1:2" ht="48.75" thickTop="1" thickBot="1">
      <c r="A66" s="337" t="s">
        <v>20</v>
      </c>
      <c r="B66" s="346">
        <v>4615174</v>
      </c>
    </row>
    <row r="67" spans="1:2" ht="48.75" thickTop="1" thickBot="1">
      <c r="A67" s="337" t="s">
        <v>21</v>
      </c>
      <c r="B67" s="346">
        <v>4989361</v>
      </c>
    </row>
    <row r="68" spans="1:2" ht="33" thickTop="1" thickBot="1">
      <c r="A68" s="337" t="s">
        <v>22</v>
      </c>
      <c r="B68" s="346">
        <v>6148294</v>
      </c>
    </row>
    <row r="69" spans="1:2" ht="33" thickTop="1" thickBot="1">
      <c r="A69" s="337" t="s">
        <v>23</v>
      </c>
      <c r="B69" s="346">
        <v>6904943</v>
      </c>
    </row>
    <row r="70" spans="1:2" ht="33" thickTop="1" thickBot="1">
      <c r="A70" s="337" t="s">
        <v>24</v>
      </c>
      <c r="B70" s="346">
        <v>5909110</v>
      </c>
    </row>
    <row r="71" spans="1:2" ht="33" thickTop="1" thickBot="1">
      <c r="A71" s="337" t="s">
        <v>25</v>
      </c>
      <c r="B71" s="346">
        <v>7272098</v>
      </c>
    </row>
    <row r="72" spans="1:2" ht="33" thickTop="1" thickBot="1">
      <c r="A72" s="337" t="s">
        <v>26</v>
      </c>
      <c r="B72" s="346">
        <v>5398022</v>
      </c>
    </row>
    <row r="73" spans="1:2" ht="33" thickTop="1" thickBot="1">
      <c r="A73" s="337" t="s">
        <v>27</v>
      </c>
      <c r="B73" s="346">
        <v>9190262</v>
      </c>
    </row>
    <row r="74" spans="1:2" ht="48.75" thickTop="1" thickBot="1">
      <c r="A74" s="337" t="s">
        <v>28</v>
      </c>
      <c r="B74" s="346">
        <v>7191960</v>
      </c>
    </row>
    <row r="75" spans="1:2" ht="48.75" thickTop="1" thickBot="1">
      <c r="A75" s="337" t="s">
        <v>29</v>
      </c>
      <c r="B75" s="346">
        <v>6626087</v>
      </c>
    </row>
    <row r="76" spans="1:2" ht="64.5" thickTop="1" thickBot="1">
      <c r="A76" s="337" t="s">
        <v>30</v>
      </c>
      <c r="B76" s="346">
        <v>5457245</v>
      </c>
    </row>
    <row r="77" spans="1:2" ht="64.5" thickTop="1" thickBot="1">
      <c r="A77" s="337" t="s">
        <v>31</v>
      </c>
      <c r="B77" s="346">
        <v>5465149</v>
      </c>
    </row>
    <row r="78" spans="1:2" ht="33" thickTop="1" thickBot="1">
      <c r="A78" s="334" t="s">
        <v>430</v>
      </c>
      <c r="B78" s="339">
        <f>SUM(B66:B77)</f>
        <v>75167705</v>
      </c>
    </row>
    <row r="79" spans="1:2" ht="16.5" thickTop="1"/>
    <row r="80" spans="1:2" s="316" customFormat="1">
      <c r="A80" s="436" t="s">
        <v>444</v>
      </c>
      <c r="B80" s="436"/>
    </row>
    <row r="81" spans="1:3" s="316" customFormat="1">
      <c r="A81" s="436" t="s">
        <v>445</v>
      </c>
      <c r="B81" s="436"/>
      <c r="C81" s="436"/>
    </row>
  </sheetData>
  <mergeCells count="10">
    <mergeCell ref="A81:C81"/>
    <mergeCell ref="A1:F1"/>
    <mergeCell ref="A14:F14"/>
    <mergeCell ref="A15:F15"/>
    <mergeCell ref="A27:F27"/>
    <mergeCell ref="A40:F40"/>
    <mergeCell ref="A41:F41"/>
    <mergeCell ref="A60:F60"/>
    <mergeCell ref="A61:F61"/>
    <mergeCell ref="A80:B8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8"/>
  <sheetViews>
    <sheetView rightToLeft="1" workbookViewId="0">
      <selection activeCell="A21" sqref="A21:XFD21"/>
    </sheetView>
  </sheetViews>
  <sheetFormatPr defaultColWidth="9.140625" defaultRowHeight="15.75"/>
  <cols>
    <col min="1" max="1" width="61.7109375" style="2" customWidth="1"/>
    <col min="2" max="2" width="11.140625" style="2" customWidth="1"/>
    <col min="3" max="9" width="9.140625" style="2"/>
    <col min="10" max="10" width="12.42578125" style="2" customWidth="1"/>
    <col min="11" max="11" width="9.140625" style="2"/>
    <col min="12" max="12" width="11.42578125" style="2" customWidth="1"/>
    <col min="13" max="13" width="11" style="2" customWidth="1"/>
    <col min="14" max="16384" width="9.140625" style="2"/>
  </cols>
  <sheetData>
    <row r="1" spans="1:23">
      <c r="A1" s="398" t="s">
        <v>52</v>
      </c>
      <c r="B1" s="398"/>
      <c r="C1" s="398"/>
      <c r="D1" s="398"/>
      <c r="E1" s="398"/>
      <c r="F1" s="398"/>
      <c r="G1" s="398"/>
      <c r="H1" s="398"/>
      <c r="I1" s="398"/>
      <c r="J1" s="1"/>
    </row>
    <row r="2" spans="1:23" ht="20.25" customHeight="1">
      <c r="A2" s="398" t="s">
        <v>53</v>
      </c>
      <c r="B2" s="398"/>
      <c r="C2" s="398"/>
      <c r="D2" s="398"/>
      <c r="E2" s="398"/>
      <c r="F2" s="398"/>
      <c r="G2" s="398"/>
      <c r="H2" s="398"/>
      <c r="I2" s="398"/>
      <c r="J2" s="398"/>
    </row>
    <row r="3" spans="1:23">
      <c r="A3" s="38"/>
      <c r="B3" s="38"/>
      <c r="C3" s="38"/>
      <c r="D3" s="38"/>
      <c r="E3" s="38"/>
      <c r="F3" s="38"/>
      <c r="G3" s="38"/>
      <c r="H3" s="38"/>
      <c r="I3" s="38"/>
      <c r="J3" s="1"/>
    </row>
    <row r="4" spans="1:23">
      <c r="A4" s="398" t="s">
        <v>18</v>
      </c>
      <c r="B4" s="398"/>
      <c r="C4" s="398"/>
      <c r="D4" s="38"/>
      <c r="E4" s="402" t="s">
        <v>19</v>
      </c>
      <c r="F4" s="402"/>
      <c r="G4" s="402"/>
    </row>
    <row r="6" spans="1:23" ht="31.5">
      <c r="A6" s="8" t="s">
        <v>32</v>
      </c>
      <c r="B6" s="8" t="s">
        <v>33</v>
      </c>
    </row>
    <row r="7" spans="1:23" ht="28.5">
      <c r="A7" s="7" t="s">
        <v>20</v>
      </c>
      <c r="B7" s="4">
        <v>243.2</v>
      </c>
    </row>
    <row r="8" spans="1:23" ht="28.5">
      <c r="A8" s="7" t="s">
        <v>21</v>
      </c>
      <c r="B8" s="4">
        <v>237.5</v>
      </c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/>
    </row>
    <row r="9" spans="1:23" ht="28.5">
      <c r="A9" s="7" t="s">
        <v>22</v>
      </c>
      <c r="B9" s="4">
        <v>246.5</v>
      </c>
    </row>
    <row r="10" spans="1:23" ht="28.5">
      <c r="A10" s="7" t="s">
        <v>23</v>
      </c>
      <c r="B10" s="4">
        <v>240.2</v>
      </c>
      <c r="I10" s="6"/>
    </row>
    <row r="11" spans="1:23" ht="28.5">
      <c r="A11" s="7" t="s">
        <v>24</v>
      </c>
      <c r="B11" s="4">
        <v>280.60000000000002</v>
      </c>
      <c r="I11" s="6"/>
    </row>
    <row r="12" spans="1:23" ht="28.5">
      <c r="A12" s="7" t="s">
        <v>25</v>
      </c>
      <c r="B12" s="4">
        <v>292.10000000000002</v>
      </c>
      <c r="I12" s="6"/>
    </row>
    <row r="13" spans="1:23" ht="28.5">
      <c r="A13" s="7" t="s">
        <v>26</v>
      </c>
      <c r="B13" s="4">
        <v>233.5</v>
      </c>
      <c r="I13" s="6"/>
    </row>
    <row r="14" spans="1:23" ht="28.5">
      <c r="A14" s="7" t="s">
        <v>27</v>
      </c>
      <c r="B14" s="4">
        <v>233.4</v>
      </c>
      <c r="I14" s="6"/>
    </row>
    <row r="15" spans="1:23" ht="28.5">
      <c r="A15" s="7" t="s">
        <v>28</v>
      </c>
      <c r="B15" s="4">
        <v>242.5</v>
      </c>
      <c r="I15" s="6"/>
    </row>
    <row r="16" spans="1:23" ht="28.5">
      <c r="A16" s="7" t="s">
        <v>29</v>
      </c>
      <c r="B16" s="4">
        <v>255.3</v>
      </c>
      <c r="I16" s="6"/>
    </row>
    <row r="17" spans="1:14" ht="28.5">
      <c r="A17" s="7" t="s">
        <v>30</v>
      </c>
      <c r="B17" s="4">
        <v>219.9</v>
      </c>
      <c r="I17" s="6"/>
    </row>
    <row r="18" spans="1:14" ht="28.5">
      <c r="A18" s="7" t="s">
        <v>31</v>
      </c>
      <c r="B18" s="4">
        <v>231.1</v>
      </c>
      <c r="I18" s="6"/>
    </row>
    <row r="19" spans="1:14" ht="31.5">
      <c r="A19" s="8" t="s">
        <v>34</v>
      </c>
      <c r="B19" s="4">
        <f>SUM(B7:B18)</f>
        <v>2955.8</v>
      </c>
      <c r="I19" s="6"/>
    </row>
    <row r="20" spans="1:14" ht="14.25" customHeight="1">
      <c r="I20" s="6"/>
    </row>
    <row r="21" spans="1:14" ht="33" customHeight="1">
      <c r="A21" s="397" t="s">
        <v>56</v>
      </c>
      <c r="B21" s="401"/>
      <c r="C21" s="401"/>
      <c r="D21" s="401"/>
      <c r="E21" s="401"/>
      <c r="F21" s="9"/>
      <c r="G21" s="9"/>
      <c r="H21" s="9"/>
      <c r="I21" s="9"/>
      <c r="J21" s="9"/>
      <c r="K21" s="9"/>
      <c r="L21" s="9"/>
      <c r="M21" s="9"/>
      <c r="N21" s="9"/>
    </row>
    <row r="22" spans="1:14">
      <c r="A22" s="40"/>
      <c r="B22" s="41"/>
      <c r="C22" s="41"/>
      <c r="D22" s="41"/>
      <c r="E22" s="41"/>
      <c r="F22" s="9"/>
      <c r="G22" s="9"/>
      <c r="H22" s="9"/>
      <c r="I22" s="9"/>
      <c r="J22" s="9"/>
      <c r="K22" s="9"/>
      <c r="L22" s="9"/>
      <c r="M22" s="9"/>
      <c r="N22" s="9"/>
    </row>
    <row r="23" spans="1:14">
      <c r="A23" s="398" t="s">
        <v>18</v>
      </c>
      <c r="B23" s="398"/>
      <c r="C23" s="402" t="s">
        <v>19</v>
      </c>
      <c r="D23" s="402"/>
      <c r="E23" s="402"/>
      <c r="F23" s="39"/>
    </row>
    <row r="24" spans="1:14" ht="16.5" thickBot="1">
      <c r="A24" s="38"/>
      <c r="B24" s="38"/>
      <c r="C24" s="39"/>
      <c r="D24" s="39"/>
      <c r="E24" s="39"/>
      <c r="F24" s="39"/>
    </row>
    <row r="25" spans="1:14" ht="41.25" customHeight="1" thickBot="1">
      <c r="A25" s="46" t="s">
        <v>57</v>
      </c>
      <c r="B25" s="22" t="s">
        <v>20</v>
      </c>
      <c r="C25" s="22" t="s">
        <v>55</v>
      </c>
      <c r="D25" s="22" t="s">
        <v>22</v>
      </c>
      <c r="E25" s="22" t="s">
        <v>23</v>
      </c>
      <c r="F25" s="22" t="s">
        <v>24</v>
      </c>
      <c r="G25" s="22" t="s">
        <v>25</v>
      </c>
      <c r="H25" s="22" t="s">
        <v>26</v>
      </c>
      <c r="I25" s="22" t="s">
        <v>27</v>
      </c>
      <c r="J25" s="22" t="s">
        <v>40</v>
      </c>
      <c r="K25" s="22" t="s">
        <v>29</v>
      </c>
      <c r="L25" s="22" t="s">
        <v>30</v>
      </c>
      <c r="M25" s="22" t="s">
        <v>31</v>
      </c>
      <c r="N25" s="10" t="s">
        <v>34</v>
      </c>
    </row>
    <row r="26" spans="1:14" ht="32.25" thickBot="1">
      <c r="A26" s="23" t="s">
        <v>36</v>
      </c>
      <c r="B26" s="12">
        <v>0.5</v>
      </c>
      <c r="C26" s="13">
        <v>0.5</v>
      </c>
      <c r="D26" s="13">
        <v>0.6</v>
      </c>
      <c r="E26" s="13">
        <v>0.5</v>
      </c>
      <c r="F26" s="14">
        <v>0.6</v>
      </c>
      <c r="G26" s="14">
        <v>1</v>
      </c>
      <c r="H26" s="14">
        <v>0.7</v>
      </c>
      <c r="I26" s="14">
        <v>0.8</v>
      </c>
      <c r="J26" s="14">
        <v>1</v>
      </c>
      <c r="K26" s="14">
        <v>0.5</v>
      </c>
      <c r="L26" s="14">
        <v>0.4</v>
      </c>
      <c r="M26" s="15">
        <v>0.5</v>
      </c>
      <c r="N26" s="11">
        <f>SUM(B26:M26)</f>
        <v>7.6000000000000005</v>
      </c>
    </row>
    <row r="27" spans="1:14" ht="32.25" thickBot="1">
      <c r="A27" s="24" t="s">
        <v>0</v>
      </c>
      <c r="B27" s="12">
        <v>4.0999999999999996</v>
      </c>
      <c r="C27" s="13">
        <v>3.4</v>
      </c>
      <c r="D27" s="13">
        <v>4.4000000000000004</v>
      </c>
      <c r="E27" s="13">
        <v>4.5</v>
      </c>
      <c r="F27" s="14">
        <v>4.9000000000000004</v>
      </c>
      <c r="G27" s="14">
        <v>2.9</v>
      </c>
      <c r="H27" s="14">
        <v>3.6</v>
      </c>
      <c r="I27" s="14">
        <v>3.6</v>
      </c>
      <c r="J27" s="14">
        <v>2.7</v>
      </c>
      <c r="K27" s="14">
        <v>5.3</v>
      </c>
      <c r="L27" s="14">
        <v>4.7</v>
      </c>
      <c r="M27" s="15">
        <v>5</v>
      </c>
      <c r="N27" s="11">
        <f t="shared" ref="N27:N46" si="0">SUM(B27:M27)</f>
        <v>49.1</v>
      </c>
    </row>
    <row r="28" spans="1:14" ht="32.25" thickBot="1">
      <c r="A28" s="24" t="s">
        <v>1</v>
      </c>
      <c r="B28" s="12">
        <v>2.4</v>
      </c>
      <c r="C28" s="13">
        <v>2.8</v>
      </c>
      <c r="D28" s="13">
        <v>2.1</v>
      </c>
      <c r="E28" s="13">
        <v>3</v>
      </c>
      <c r="F28" s="14">
        <v>2.6</v>
      </c>
      <c r="G28" s="14">
        <v>3.1</v>
      </c>
      <c r="H28" s="14">
        <v>2.7</v>
      </c>
      <c r="I28" s="14">
        <v>3.2</v>
      </c>
      <c r="J28" s="14">
        <v>2.8</v>
      </c>
      <c r="K28" s="14">
        <v>3</v>
      </c>
      <c r="L28" s="14">
        <v>3.3</v>
      </c>
      <c r="M28" s="15">
        <v>2.6</v>
      </c>
      <c r="N28" s="11">
        <f t="shared" si="0"/>
        <v>33.6</v>
      </c>
    </row>
    <row r="29" spans="1:14" ht="32.25" thickBot="1">
      <c r="A29" s="24" t="s">
        <v>2</v>
      </c>
      <c r="B29" s="12">
        <v>35.700000000000003</v>
      </c>
      <c r="C29" s="13">
        <v>40.4</v>
      </c>
      <c r="D29" s="13">
        <v>45.7</v>
      </c>
      <c r="E29" s="13">
        <v>44.3</v>
      </c>
      <c r="F29" s="14">
        <v>45.4</v>
      </c>
      <c r="G29" s="14">
        <v>48.9</v>
      </c>
      <c r="H29" s="14">
        <v>37.6</v>
      </c>
      <c r="I29" s="14">
        <v>37.9</v>
      </c>
      <c r="J29" s="14">
        <v>38.799999999999997</v>
      </c>
      <c r="K29" s="14">
        <v>40.799999999999997</v>
      </c>
      <c r="L29" s="14">
        <v>42.7</v>
      </c>
      <c r="M29" s="15">
        <v>39</v>
      </c>
      <c r="N29" s="11">
        <f t="shared" si="0"/>
        <v>497.2</v>
      </c>
    </row>
    <row r="30" spans="1:14" ht="32.25" thickBot="1">
      <c r="A30" s="24" t="s">
        <v>3</v>
      </c>
      <c r="B30" s="12">
        <v>1.2</v>
      </c>
      <c r="C30" s="13">
        <v>0.4</v>
      </c>
      <c r="D30" s="13">
        <v>1</v>
      </c>
      <c r="E30" s="13">
        <v>0.7</v>
      </c>
      <c r="F30" s="14">
        <v>0.9</v>
      </c>
      <c r="G30" s="14">
        <v>1.4</v>
      </c>
      <c r="H30" s="14">
        <v>0.8</v>
      </c>
      <c r="I30" s="14">
        <v>1.2</v>
      </c>
      <c r="J30" s="14">
        <v>0.8</v>
      </c>
      <c r="K30" s="14">
        <v>1.5</v>
      </c>
      <c r="L30" s="14">
        <v>0.8</v>
      </c>
      <c r="M30" s="15">
        <v>0.9</v>
      </c>
      <c r="N30" s="11">
        <f t="shared" si="0"/>
        <v>11.600000000000001</v>
      </c>
    </row>
    <row r="31" spans="1:14" ht="32.25" thickBot="1">
      <c r="A31" s="24" t="s">
        <v>4</v>
      </c>
      <c r="B31" s="12">
        <v>46.7</v>
      </c>
      <c r="C31" s="13">
        <v>49.6</v>
      </c>
      <c r="D31" s="13">
        <v>29.2</v>
      </c>
      <c r="E31" s="13">
        <v>34.799999999999997</v>
      </c>
      <c r="F31" s="14">
        <v>50.1</v>
      </c>
      <c r="G31" s="14">
        <v>59.3</v>
      </c>
      <c r="H31" s="14">
        <v>52</v>
      </c>
      <c r="I31" s="14">
        <v>54.6</v>
      </c>
      <c r="J31" s="14">
        <v>48</v>
      </c>
      <c r="K31" s="14">
        <v>44</v>
      </c>
      <c r="L31" s="14">
        <v>30.9</v>
      </c>
      <c r="M31" s="15">
        <v>45.3</v>
      </c>
      <c r="N31" s="11">
        <f t="shared" si="0"/>
        <v>544.5</v>
      </c>
    </row>
    <row r="32" spans="1:14" ht="32.25" thickBot="1">
      <c r="A32" s="24" t="s">
        <v>37</v>
      </c>
      <c r="B32" s="12">
        <v>8.6999999999999993</v>
      </c>
      <c r="C32" s="13">
        <v>9.1</v>
      </c>
      <c r="D32" s="13">
        <v>11.7</v>
      </c>
      <c r="E32" s="13">
        <v>10</v>
      </c>
      <c r="F32" s="14">
        <v>13.1</v>
      </c>
      <c r="G32" s="14">
        <v>14.4</v>
      </c>
      <c r="H32" s="14">
        <v>10.6</v>
      </c>
      <c r="I32" s="14">
        <v>13</v>
      </c>
      <c r="J32" s="14">
        <v>11</v>
      </c>
      <c r="K32" s="14">
        <v>14.6</v>
      </c>
      <c r="L32" s="14">
        <v>10.6</v>
      </c>
      <c r="M32" s="15">
        <v>9.9</v>
      </c>
      <c r="N32" s="11">
        <f t="shared" si="0"/>
        <v>136.69999999999999</v>
      </c>
    </row>
    <row r="33" spans="1:20" ht="32.25" thickBot="1">
      <c r="A33" s="24" t="s">
        <v>5</v>
      </c>
      <c r="B33" s="12">
        <v>1.1000000000000001</v>
      </c>
      <c r="C33" s="13">
        <v>1.3</v>
      </c>
      <c r="D33" s="13">
        <v>1.5</v>
      </c>
      <c r="E33" s="13">
        <v>1.2</v>
      </c>
      <c r="F33" s="14">
        <v>1.2</v>
      </c>
      <c r="G33" s="14">
        <v>1.2</v>
      </c>
      <c r="H33" s="14">
        <v>1.4</v>
      </c>
      <c r="I33" s="14">
        <v>1.5</v>
      </c>
      <c r="J33" s="14">
        <v>1.2</v>
      </c>
      <c r="K33" s="14">
        <v>1.3</v>
      </c>
      <c r="L33" s="14">
        <v>1.2</v>
      </c>
      <c r="M33" s="15">
        <v>1.7</v>
      </c>
      <c r="N33" s="11">
        <f t="shared" si="0"/>
        <v>15.799999999999999</v>
      </c>
    </row>
    <row r="34" spans="1:20" ht="32.25" thickBot="1">
      <c r="A34" s="24" t="s">
        <v>6</v>
      </c>
      <c r="B34" s="12">
        <v>1.2</v>
      </c>
      <c r="C34" s="13">
        <v>0.8</v>
      </c>
      <c r="D34" s="13">
        <v>0.9</v>
      </c>
      <c r="E34" s="13">
        <v>1.3</v>
      </c>
      <c r="F34" s="14">
        <v>1.5</v>
      </c>
      <c r="G34" s="14">
        <v>1.3</v>
      </c>
      <c r="H34" s="14">
        <v>1.3</v>
      </c>
      <c r="I34" s="14">
        <v>0.5</v>
      </c>
      <c r="J34" s="14">
        <v>0.7</v>
      </c>
      <c r="K34" s="14">
        <v>1.2</v>
      </c>
      <c r="L34" s="14">
        <v>1</v>
      </c>
      <c r="M34" s="15">
        <v>0.8</v>
      </c>
      <c r="N34" s="11">
        <f t="shared" si="0"/>
        <v>12.5</v>
      </c>
    </row>
    <row r="35" spans="1:20" ht="32.25" thickBot="1">
      <c r="A35" s="24" t="s">
        <v>7</v>
      </c>
      <c r="B35" s="12">
        <v>13.8</v>
      </c>
      <c r="C35" s="13">
        <v>13.6</v>
      </c>
      <c r="D35" s="13">
        <v>13.9</v>
      </c>
      <c r="E35" s="13">
        <v>11.1</v>
      </c>
      <c r="F35" s="14">
        <v>13</v>
      </c>
      <c r="G35" s="14">
        <v>13.3</v>
      </c>
      <c r="H35" s="14">
        <v>14</v>
      </c>
      <c r="I35" s="14">
        <v>11.8</v>
      </c>
      <c r="J35" s="14">
        <v>15.5</v>
      </c>
      <c r="K35" s="14">
        <v>16.5</v>
      </c>
      <c r="L35" s="14">
        <v>11.6</v>
      </c>
      <c r="M35" s="15">
        <v>11.4</v>
      </c>
      <c r="N35" s="11">
        <f t="shared" si="0"/>
        <v>159.5</v>
      </c>
    </row>
    <row r="36" spans="1:20" ht="32.25" thickBot="1">
      <c r="A36" s="24" t="s">
        <v>8</v>
      </c>
      <c r="B36" s="12">
        <v>8.5</v>
      </c>
      <c r="C36" s="13">
        <v>9.1999999999999993</v>
      </c>
      <c r="D36" s="13">
        <v>10.8</v>
      </c>
      <c r="E36" s="13">
        <v>11</v>
      </c>
      <c r="F36" s="14">
        <v>9.1</v>
      </c>
      <c r="G36" s="14">
        <v>7.8</v>
      </c>
      <c r="H36" s="14">
        <v>8.9</v>
      </c>
      <c r="I36" s="14">
        <v>8.5</v>
      </c>
      <c r="J36" s="14">
        <v>8.3000000000000007</v>
      </c>
      <c r="K36" s="14">
        <v>9.9</v>
      </c>
      <c r="L36" s="14">
        <v>9.1</v>
      </c>
      <c r="M36" s="15">
        <v>8.6</v>
      </c>
      <c r="N36" s="11">
        <f t="shared" si="0"/>
        <v>109.69999999999999</v>
      </c>
    </row>
    <row r="37" spans="1:20" ht="32.25" thickBot="1">
      <c r="A37" s="24" t="s">
        <v>9</v>
      </c>
      <c r="B37" s="12">
        <v>1.4</v>
      </c>
      <c r="C37" s="13">
        <v>1.9</v>
      </c>
      <c r="D37" s="13">
        <v>2.2000000000000002</v>
      </c>
      <c r="E37" s="13">
        <v>1.4</v>
      </c>
      <c r="F37" s="14">
        <v>1.7</v>
      </c>
      <c r="G37" s="14">
        <v>1.5</v>
      </c>
      <c r="H37" s="14">
        <v>0.8</v>
      </c>
      <c r="I37" s="14">
        <v>1.5</v>
      </c>
      <c r="J37" s="14">
        <v>0.9</v>
      </c>
      <c r="K37" s="14">
        <v>1.1000000000000001</v>
      </c>
      <c r="L37" s="14">
        <v>0.9</v>
      </c>
      <c r="M37" s="15">
        <v>1.3</v>
      </c>
      <c r="N37" s="11">
        <f t="shared" si="0"/>
        <v>16.600000000000001</v>
      </c>
    </row>
    <row r="38" spans="1:20" ht="32.25" thickBot="1">
      <c r="A38" s="24" t="s">
        <v>10</v>
      </c>
      <c r="B38" s="12">
        <v>1.9</v>
      </c>
      <c r="C38" s="13">
        <v>2.4</v>
      </c>
      <c r="D38" s="13">
        <v>3.1</v>
      </c>
      <c r="E38" s="13">
        <v>3.5</v>
      </c>
      <c r="F38" s="14">
        <v>2.6</v>
      </c>
      <c r="G38" s="14">
        <v>2</v>
      </c>
      <c r="H38" s="14">
        <v>1.8</v>
      </c>
      <c r="I38" s="14">
        <v>1.9</v>
      </c>
      <c r="J38" s="14">
        <v>1.7</v>
      </c>
      <c r="K38" s="14">
        <v>1.8</v>
      </c>
      <c r="L38" s="14">
        <v>2.4</v>
      </c>
      <c r="M38" s="15">
        <v>1.6</v>
      </c>
      <c r="N38" s="11">
        <f t="shared" si="0"/>
        <v>26.7</v>
      </c>
    </row>
    <row r="39" spans="1:20" ht="32.25" thickBot="1">
      <c r="A39" s="24" t="s">
        <v>11</v>
      </c>
      <c r="B39" s="12">
        <v>17.2</v>
      </c>
      <c r="C39" s="13">
        <v>13.4</v>
      </c>
      <c r="D39" s="13">
        <v>12.9</v>
      </c>
      <c r="E39" s="13">
        <v>11.1</v>
      </c>
      <c r="F39" s="14">
        <v>21.5</v>
      </c>
      <c r="G39" s="14">
        <v>11.6</v>
      </c>
      <c r="H39" s="14">
        <v>18.5</v>
      </c>
      <c r="I39" s="14">
        <v>9.9</v>
      </c>
      <c r="J39" s="14">
        <v>19.399999999999999</v>
      </c>
      <c r="K39" s="14">
        <v>20</v>
      </c>
      <c r="L39" s="14">
        <v>10.9</v>
      </c>
      <c r="M39" s="15">
        <v>15.6</v>
      </c>
      <c r="N39" s="11">
        <f t="shared" si="0"/>
        <v>182</v>
      </c>
    </row>
    <row r="40" spans="1:20" ht="32.25" thickBot="1">
      <c r="A40" s="24" t="s">
        <v>12</v>
      </c>
      <c r="B40" s="12">
        <v>27.7</v>
      </c>
      <c r="C40" s="13">
        <v>20.6</v>
      </c>
      <c r="D40" s="13">
        <v>27.3</v>
      </c>
      <c r="E40" s="13">
        <v>26.4</v>
      </c>
      <c r="F40" s="14">
        <v>36.799999999999997</v>
      </c>
      <c r="G40" s="14">
        <v>31.1</v>
      </c>
      <c r="H40" s="14">
        <v>19.399999999999999</v>
      </c>
      <c r="I40" s="14">
        <v>23.7</v>
      </c>
      <c r="J40" s="14">
        <v>28.6</v>
      </c>
      <c r="K40" s="14">
        <v>28.3</v>
      </c>
      <c r="L40" s="14">
        <v>26.1</v>
      </c>
      <c r="M40" s="15">
        <v>22.2</v>
      </c>
      <c r="N40" s="11">
        <f t="shared" si="0"/>
        <v>318.2</v>
      </c>
    </row>
    <row r="41" spans="1:20" ht="32.25" thickBot="1">
      <c r="A41" s="24" t="s">
        <v>13</v>
      </c>
      <c r="B41" s="12">
        <v>58.1</v>
      </c>
      <c r="C41" s="13">
        <v>54.1</v>
      </c>
      <c r="D41" s="13">
        <v>64.8</v>
      </c>
      <c r="E41" s="13">
        <v>62.4</v>
      </c>
      <c r="F41" s="14">
        <v>62.9</v>
      </c>
      <c r="G41" s="14">
        <v>79.099999999999994</v>
      </c>
      <c r="H41" s="14">
        <v>47.2</v>
      </c>
      <c r="I41" s="14">
        <v>48.5</v>
      </c>
      <c r="J41" s="14">
        <v>50.3</v>
      </c>
      <c r="K41" s="14">
        <v>53.3</v>
      </c>
      <c r="L41" s="14">
        <v>51.4</v>
      </c>
      <c r="M41" s="15">
        <v>53.6</v>
      </c>
      <c r="N41" s="11">
        <f t="shared" si="0"/>
        <v>685.69999999999993</v>
      </c>
    </row>
    <row r="42" spans="1:20" ht="32.25" thickBot="1">
      <c r="A42" s="24" t="s">
        <v>14</v>
      </c>
      <c r="B42" s="12">
        <v>3</v>
      </c>
      <c r="C42" s="13">
        <v>2.2000000000000002</v>
      </c>
      <c r="D42" s="13">
        <v>3.3</v>
      </c>
      <c r="E42" s="13">
        <v>2.2999999999999998</v>
      </c>
      <c r="F42" s="14">
        <v>1.8</v>
      </c>
      <c r="G42" s="14">
        <v>2.2000000000000002</v>
      </c>
      <c r="H42" s="14">
        <v>2.1</v>
      </c>
      <c r="I42" s="14">
        <v>1.4</v>
      </c>
      <c r="J42" s="14">
        <v>2.2000000000000002</v>
      </c>
      <c r="K42" s="14">
        <v>1.8</v>
      </c>
      <c r="L42" s="14">
        <v>1.9</v>
      </c>
      <c r="M42" s="15">
        <v>1.7</v>
      </c>
      <c r="N42" s="11">
        <f t="shared" si="0"/>
        <v>25.9</v>
      </c>
    </row>
    <row r="43" spans="1:20" ht="32.25" thickBot="1">
      <c r="A43" s="24" t="s">
        <v>15</v>
      </c>
      <c r="B43" s="12">
        <v>1.2</v>
      </c>
      <c r="C43" s="13">
        <v>1.4</v>
      </c>
      <c r="D43" s="13">
        <v>1.8</v>
      </c>
      <c r="E43" s="13">
        <v>1.4</v>
      </c>
      <c r="F43" s="14">
        <v>1.4</v>
      </c>
      <c r="G43" s="14">
        <v>1.7</v>
      </c>
      <c r="H43" s="14">
        <v>1.1000000000000001</v>
      </c>
      <c r="I43" s="14">
        <v>1.6</v>
      </c>
      <c r="J43" s="14">
        <v>1</v>
      </c>
      <c r="K43" s="14">
        <v>1.1000000000000001</v>
      </c>
      <c r="L43" s="14">
        <v>2</v>
      </c>
      <c r="M43" s="15">
        <v>2.1</v>
      </c>
      <c r="N43" s="11">
        <f t="shared" si="0"/>
        <v>17.799999999999997</v>
      </c>
    </row>
    <row r="44" spans="1:20" ht="32.25" thickBot="1">
      <c r="A44" s="24" t="s">
        <v>82</v>
      </c>
      <c r="B44" s="12">
        <v>0</v>
      </c>
      <c r="C44" s="13">
        <v>0.1</v>
      </c>
      <c r="D44" s="13">
        <v>0</v>
      </c>
      <c r="E44" s="13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0.1</v>
      </c>
      <c r="K44" s="14">
        <v>0</v>
      </c>
      <c r="L44" s="14">
        <v>0</v>
      </c>
      <c r="M44" s="15">
        <v>0</v>
      </c>
      <c r="N44" s="11">
        <f t="shared" si="0"/>
        <v>0.2</v>
      </c>
    </row>
    <row r="45" spans="1:20" ht="32.25" thickBot="1">
      <c r="A45" s="25" t="s">
        <v>17</v>
      </c>
      <c r="B45" s="16">
        <v>8.6</v>
      </c>
      <c r="C45" s="17">
        <v>10.3</v>
      </c>
      <c r="D45" s="17">
        <v>9.4</v>
      </c>
      <c r="E45" s="17">
        <v>9.3000000000000007</v>
      </c>
      <c r="F45" s="18">
        <v>9.5</v>
      </c>
      <c r="G45" s="18">
        <v>8.1999999999999993</v>
      </c>
      <c r="H45" s="18">
        <v>9.1</v>
      </c>
      <c r="I45" s="18">
        <v>8.1999999999999993</v>
      </c>
      <c r="J45" s="18">
        <v>7.3</v>
      </c>
      <c r="K45" s="18">
        <v>9.1999999999999993</v>
      </c>
      <c r="L45" s="18">
        <v>8</v>
      </c>
      <c r="M45" s="19">
        <v>7.3</v>
      </c>
      <c r="N45" s="11">
        <f t="shared" si="0"/>
        <v>104.39999999999999</v>
      </c>
    </row>
    <row r="46" spans="1:20" ht="32.25" thickBot="1">
      <c r="A46" s="20" t="s">
        <v>34</v>
      </c>
      <c r="B46" s="11">
        <f>SUM(B26:B45)</f>
        <v>242.99999999999997</v>
      </c>
      <c r="C46" s="11">
        <f>SUM(C26:C45)</f>
        <v>237.49999999999997</v>
      </c>
      <c r="D46" s="11">
        <f>SUM(D26:D45)</f>
        <v>246.60000000000005</v>
      </c>
      <c r="E46" s="11">
        <f>SUM(E26:E45)</f>
        <v>240.20000000000005</v>
      </c>
      <c r="F46" s="11">
        <f t="shared" ref="F46:M46" si="1">SUM(F26:F45)</f>
        <v>280.59999999999997</v>
      </c>
      <c r="G46" s="11">
        <f t="shared" si="1"/>
        <v>291.99999999999994</v>
      </c>
      <c r="H46" s="11">
        <f t="shared" si="1"/>
        <v>233.6</v>
      </c>
      <c r="I46" s="11">
        <f t="shared" si="1"/>
        <v>233.3</v>
      </c>
      <c r="J46" s="11">
        <f t="shared" si="1"/>
        <v>242.29999999999998</v>
      </c>
      <c r="K46" s="11">
        <f t="shared" si="1"/>
        <v>255.20000000000002</v>
      </c>
      <c r="L46" s="11">
        <f t="shared" si="1"/>
        <v>219.9</v>
      </c>
      <c r="M46" s="11">
        <f t="shared" si="1"/>
        <v>231.09999999999997</v>
      </c>
      <c r="N46" s="11">
        <f t="shared" si="0"/>
        <v>2955.2999999999997</v>
      </c>
    </row>
    <row r="48" spans="1:20" s="43" customFormat="1" ht="39" customHeight="1">
      <c r="A48" s="399" t="s">
        <v>54</v>
      </c>
      <c r="B48" s="400"/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R48" s="44"/>
      <c r="S48" s="44"/>
      <c r="T48" s="45"/>
    </row>
  </sheetData>
  <mergeCells count="8">
    <mergeCell ref="A48:N48"/>
    <mergeCell ref="A21:E21"/>
    <mergeCell ref="A23:B23"/>
    <mergeCell ref="C23:E23"/>
    <mergeCell ref="A1:I1"/>
    <mergeCell ref="A2:J2"/>
    <mergeCell ref="A4:C4"/>
    <mergeCell ref="E4:G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65"/>
  <sheetViews>
    <sheetView rightToLeft="1" workbookViewId="0">
      <selection activeCell="G8" sqref="G8"/>
    </sheetView>
  </sheetViews>
  <sheetFormatPr defaultColWidth="9" defaultRowHeight="15"/>
  <cols>
    <col min="1" max="1" width="13.7109375" style="281" customWidth="1"/>
    <col min="2" max="2" width="12.140625" style="281" customWidth="1"/>
    <col min="3" max="16384" width="9" style="281"/>
  </cols>
  <sheetData>
    <row r="1" spans="1:10" s="316" customFormat="1" ht="15.75">
      <c r="A1" s="435" t="s">
        <v>472</v>
      </c>
      <c r="B1" s="435"/>
      <c r="C1" s="435"/>
      <c r="D1" s="435"/>
      <c r="E1" s="435"/>
      <c r="F1" s="435"/>
      <c r="G1" s="435"/>
      <c r="H1" s="435"/>
      <c r="I1" s="435"/>
    </row>
    <row r="2" spans="1:10" s="316" customFormat="1" ht="15.75">
      <c r="A2" s="435" t="s">
        <v>473</v>
      </c>
      <c r="B2" s="435"/>
      <c r="C2" s="435"/>
      <c r="D2" s="435"/>
      <c r="E2" s="435"/>
      <c r="F2" s="435"/>
      <c r="G2" s="435"/>
      <c r="H2" s="435"/>
      <c r="I2" s="435"/>
      <c r="J2" s="435"/>
    </row>
    <row r="3" spans="1:10" s="316" customFormat="1" ht="15.75">
      <c r="A3" s="317"/>
      <c r="B3" s="317"/>
      <c r="C3" s="317"/>
      <c r="D3" s="317"/>
      <c r="E3" s="317"/>
      <c r="F3" s="317"/>
    </row>
    <row r="4" spans="1:10" s="316" customFormat="1" ht="15.75">
      <c r="A4" s="317" t="s">
        <v>441</v>
      </c>
      <c r="C4" s="437" t="s">
        <v>442</v>
      </c>
      <c r="D4" s="437"/>
      <c r="E4" s="317"/>
      <c r="F4" s="317"/>
    </row>
    <row r="5" spans="1:10" s="87" customFormat="1" ht="16.5" thickBot="1"/>
    <row r="6" spans="1:10" s="87" customFormat="1" ht="33" thickTop="1" thickBot="1">
      <c r="A6" s="331" t="s">
        <v>32</v>
      </c>
      <c r="B6" s="336" t="s">
        <v>33</v>
      </c>
    </row>
    <row r="7" spans="1:10" s="87" customFormat="1" ht="48.75" thickTop="1" thickBot="1">
      <c r="A7" s="337" t="s">
        <v>20</v>
      </c>
      <c r="B7" s="347">
        <v>220053</v>
      </c>
    </row>
    <row r="8" spans="1:10" s="87" customFormat="1" ht="48.75" thickTop="1" thickBot="1">
      <c r="A8" s="337" t="s">
        <v>21</v>
      </c>
      <c r="B8" s="347">
        <v>385041</v>
      </c>
    </row>
    <row r="9" spans="1:10" s="87" customFormat="1" ht="33" thickTop="1" thickBot="1">
      <c r="A9" s="337" t="s">
        <v>22</v>
      </c>
      <c r="B9" s="347">
        <v>362415</v>
      </c>
    </row>
    <row r="10" spans="1:10" s="87" customFormat="1" ht="33" thickTop="1" thickBot="1">
      <c r="A10" s="337" t="s">
        <v>23</v>
      </c>
      <c r="B10" s="347">
        <v>359566</v>
      </c>
    </row>
    <row r="11" spans="1:10" s="87" customFormat="1" ht="33" thickTop="1" thickBot="1">
      <c r="A11" s="337" t="s">
        <v>24</v>
      </c>
      <c r="B11" s="347">
        <v>834540</v>
      </c>
    </row>
    <row r="12" spans="1:10" s="87" customFormat="1" ht="33" thickTop="1" thickBot="1">
      <c r="A12" s="337" t="s">
        <v>25</v>
      </c>
      <c r="B12" s="347">
        <v>441011</v>
      </c>
    </row>
    <row r="13" spans="1:10" s="87" customFormat="1" ht="33" thickTop="1" thickBot="1">
      <c r="A13" s="337" t="s">
        <v>26</v>
      </c>
      <c r="B13" s="347">
        <v>871584</v>
      </c>
    </row>
    <row r="14" spans="1:10" s="87" customFormat="1" ht="33" thickTop="1" thickBot="1">
      <c r="A14" s="337" t="s">
        <v>27</v>
      </c>
      <c r="B14" s="347">
        <v>613587</v>
      </c>
    </row>
    <row r="15" spans="1:10" s="87" customFormat="1" ht="48.75" thickTop="1" thickBot="1">
      <c r="A15" s="337" t="s">
        <v>28</v>
      </c>
      <c r="B15" s="347">
        <v>512917</v>
      </c>
    </row>
    <row r="16" spans="1:10" s="87" customFormat="1" ht="48.75" thickTop="1" thickBot="1">
      <c r="A16" s="337" t="s">
        <v>29</v>
      </c>
      <c r="B16" s="347">
        <v>240800</v>
      </c>
    </row>
    <row r="17" spans="1:10" s="87" customFormat="1" ht="64.5" thickTop="1" thickBot="1">
      <c r="A17" s="337" t="s">
        <v>30</v>
      </c>
      <c r="B17" s="347">
        <v>868064</v>
      </c>
    </row>
    <row r="18" spans="1:10" s="87" customFormat="1" ht="64.5" thickTop="1" thickBot="1">
      <c r="A18" s="337" t="s">
        <v>31</v>
      </c>
      <c r="B18" s="347">
        <v>803362</v>
      </c>
    </row>
    <row r="19" spans="1:10" s="87" customFormat="1" ht="33" thickTop="1" thickBot="1">
      <c r="A19" s="334" t="s">
        <v>430</v>
      </c>
      <c r="B19" s="348">
        <f>SUM(B7:B18)</f>
        <v>6512940</v>
      </c>
    </row>
    <row r="20" spans="1:10" s="316" customFormat="1" ht="16.5" thickTop="1">
      <c r="A20" s="317"/>
      <c r="B20" s="317"/>
      <c r="C20" s="317"/>
      <c r="D20" s="317"/>
      <c r="E20" s="317"/>
      <c r="F20" s="317"/>
    </row>
    <row r="21" spans="1:10" s="316" customFormat="1" ht="15.75">
      <c r="A21" s="435" t="s">
        <v>474</v>
      </c>
      <c r="B21" s="435"/>
      <c r="C21" s="435"/>
      <c r="D21" s="435"/>
      <c r="E21" s="435"/>
      <c r="F21" s="435"/>
      <c r="G21" s="435"/>
      <c r="H21" s="435"/>
      <c r="I21" s="435"/>
    </row>
    <row r="22" spans="1:10" s="316" customFormat="1" ht="15.75">
      <c r="A22" s="435" t="s">
        <v>475</v>
      </c>
      <c r="B22" s="435"/>
      <c r="C22" s="435"/>
      <c r="D22" s="435"/>
      <c r="E22" s="435"/>
      <c r="F22" s="435"/>
      <c r="G22" s="435"/>
      <c r="H22" s="435"/>
      <c r="I22" s="435"/>
      <c r="J22" s="435"/>
    </row>
    <row r="23" spans="1:10" s="316" customFormat="1" ht="15.75">
      <c r="A23" s="317"/>
      <c r="B23" s="317"/>
      <c r="C23" s="317"/>
      <c r="D23" s="317"/>
      <c r="E23" s="317"/>
      <c r="F23" s="317"/>
    </row>
    <row r="24" spans="1:10" s="316" customFormat="1" ht="15.75">
      <c r="A24" s="317" t="s">
        <v>441</v>
      </c>
      <c r="C24" s="437" t="s">
        <v>442</v>
      </c>
      <c r="D24" s="437"/>
      <c r="E24" s="317"/>
      <c r="F24" s="317"/>
    </row>
    <row r="25" spans="1:10" s="87" customFormat="1" ht="16.5" thickBot="1"/>
    <row r="26" spans="1:10" s="87" customFormat="1" ht="33" thickTop="1" thickBot="1">
      <c r="A26" s="331" t="s">
        <v>32</v>
      </c>
      <c r="B26" s="336" t="s">
        <v>33</v>
      </c>
    </row>
    <row r="27" spans="1:10" s="87" customFormat="1" ht="48.75" thickTop="1" thickBot="1">
      <c r="A27" s="337" t="s">
        <v>20</v>
      </c>
      <c r="B27" s="349">
        <v>93027</v>
      </c>
    </row>
    <row r="28" spans="1:10" s="87" customFormat="1" ht="48.75" thickTop="1" thickBot="1">
      <c r="A28" s="337" t="s">
        <v>21</v>
      </c>
      <c r="B28" s="349">
        <v>170074</v>
      </c>
    </row>
    <row r="29" spans="1:10" s="87" customFormat="1" ht="33" thickTop="1" thickBot="1">
      <c r="A29" s="337" t="s">
        <v>22</v>
      </c>
      <c r="B29" s="349">
        <v>180508</v>
      </c>
    </row>
    <row r="30" spans="1:10" s="87" customFormat="1" ht="33" thickTop="1" thickBot="1">
      <c r="A30" s="337" t="s">
        <v>23</v>
      </c>
      <c r="B30" s="349">
        <v>82846</v>
      </c>
    </row>
    <row r="31" spans="1:10" s="87" customFormat="1" ht="33" thickTop="1" thickBot="1">
      <c r="A31" s="337" t="s">
        <v>24</v>
      </c>
      <c r="B31" s="349">
        <v>229870</v>
      </c>
    </row>
    <row r="32" spans="1:10" s="87" customFormat="1" ht="33" thickTop="1" thickBot="1">
      <c r="A32" s="337" t="s">
        <v>25</v>
      </c>
      <c r="B32" s="349">
        <v>251964</v>
      </c>
    </row>
    <row r="33" spans="1:10" s="87" customFormat="1" ht="33" thickTop="1" thickBot="1">
      <c r="A33" s="337" t="s">
        <v>26</v>
      </c>
      <c r="B33" s="349">
        <v>253531</v>
      </c>
    </row>
    <row r="34" spans="1:10" s="87" customFormat="1" ht="33" thickTop="1" thickBot="1">
      <c r="A34" s="337" t="s">
        <v>27</v>
      </c>
      <c r="B34" s="349">
        <v>151779</v>
      </c>
    </row>
    <row r="35" spans="1:10" s="87" customFormat="1" ht="48.75" thickTop="1" thickBot="1">
      <c r="A35" s="337" t="s">
        <v>28</v>
      </c>
      <c r="B35" s="349">
        <v>137389</v>
      </c>
    </row>
    <row r="36" spans="1:10" s="87" customFormat="1" ht="48.75" thickTop="1" thickBot="1">
      <c r="A36" s="337" t="s">
        <v>29</v>
      </c>
      <c r="B36" s="349">
        <v>180763</v>
      </c>
    </row>
    <row r="37" spans="1:10" s="87" customFormat="1" ht="64.5" thickTop="1" thickBot="1">
      <c r="A37" s="337" t="s">
        <v>30</v>
      </c>
      <c r="B37" s="349">
        <v>290215</v>
      </c>
    </row>
    <row r="38" spans="1:10" s="87" customFormat="1" ht="64.5" thickTop="1" thickBot="1">
      <c r="A38" s="337" t="s">
        <v>31</v>
      </c>
      <c r="B38" s="349">
        <v>312450</v>
      </c>
    </row>
    <row r="39" spans="1:10" s="87" customFormat="1" ht="33" thickTop="1" thickBot="1">
      <c r="A39" s="334" t="s">
        <v>430</v>
      </c>
      <c r="B39" s="348">
        <f>SUM(B27:B38)</f>
        <v>2334416</v>
      </c>
    </row>
    <row r="40" spans="1:10" s="87" customFormat="1" ht="16.5" thickTop="1"/>
    <row r="41" spans="1:10" s="316" customFormat="1" ht="15.75">
      <c r="A41" s="435" t="s">
        <v>476</v>
      </c>
      <c r="B41" s="435"/>
      <c r="C41" s="435"/>
      <c r="D41" s="435"/>
      <c r="E41" s="435"/>
      <c r="F41" s="435"/>
      <c r="G41" s="435"/>
      <c r="H41" s="435"/>
      <c r="I41" s="435"/>
    </row>
    <row r="42" spans="1:10" s="316" customFormat="1" ht="15.75">
      <c r="A42" s="435" t="s">
        <v>477</v>
      </c>
      <c r="B42" s="435"/>
      <c r="C42" s="435"/>
      <c r="D42" s="435"/>
      <c r="E42" s="435"/>
      <c r="F42" s="435"/>
      <c r="G42" s="435"/>
      <c r="H42" s="435"/>
      <c r="I42" s="435"/>
      <c r="J42" s="435"/>
    </row>
    <row r="43" spans="1:10" s="316" customFormat="1" ht="15.75">
      <c r="A43" s="317"/>
      <c r="B43" s="317"/>
      <c r="C43" s="317"/>
      <c r="D43" s="317"/>
      <c r="E43" s="317"/>
      <c r="F43" s="317"/>
    </row>
    <row r="44" spans="1:10" s="316" customFormat="1" ht="15.75">
      <c r="A44" s="317" t="s">
        <v>441</v>
      </c>
      <c r="C44" s="437" t="s">
        <v>442</v>
      </c>
      <c r="D44" s="437"/>
      <c r="E44" s="317"/>
      <c r="F44" s="317"/>
    </row>
    <row r="45" spans="1:10" s="87" customFormat="1" ht="16.5" thickBot="1"/>
    <row r="46" spans="1:10" s="87" customFormat="1" ht="33" thickTop="1" thickBot="1">
      <c r="A46" s="331" t="s">
        <v>32</v>
      </c>
      <c r="B46" s="336" t="s">
        <v>33</v>
      </c>
    </row>
    <row r="47" spans="1:10" s="87" customFormat="1" ht="48.75" thickTop="1" thickBot="1">
      <c r="A47" s="337" t="s">
        <v>20</v>
      </c>
      <c r="B47" s="349">
        <v>34989</v>
      </c>
    </row>
    <row r="48" spans="1:10" s="87" customFormat="1" ht="48.75" thickTop="1" thickBot="1">
      <c r="A48" s="337" t="s">
        <v>21</v>
      </c>
      <c r="B48" s="349">
        <v>13362</v>
      </c>
    </row>
    <row r="49" spans="1:3" s="87" customFormat="1" ht="33" thickTop="1" thickBot="1">
      <c r="A49" s="337" t="s">
        <v>22</v>
      </c>
      <c r="B49" s="349">
        <v>5670</v>
      </c>
    </row>
    <row r="50" spans="1:3" s="87" customFormat="1" ht="33" thickTop="1" thickBot="1">
      <c r="A50" s="337" t="s">
        <v>23</v>
      </c>
      <c r="B50" s="349">
        <v>1995</v>
      </c>
    </row>
    <row r="51" spans="1:3" s="87" customFormat="1" ht="33" thickTop="1" thickBot="1">
      <c r="A51" s="337" t="s">
        <v>24</v>
      </c>
      <c r="B51" s="349">
        <v>4338</v>
      </c>
    </row>
    <row r="52" spans="1:3" s="87" customFormat="1" ht="33" thickTop="1" thickBot="1">
      <c r="A52" s="337" t="s">
        <v>25</v>
      </c>
      <c r="B52" s="349">
        <v>7685</v>
      </c>
    </row>
    <row r="53" spans="1:3" s="87" customFormat="1" ht="33" thickTop="1" thickBot="1">
      <c r="A53" s="337" t="s">
        <v>26</v>
      </c>
      <c r="B53" s="349">
        <v>50839</v>
      </c>
    </row>
    <row r="54" spans="1:3" s="87" customFormat="1" ht="33" thickTop="1" thickBot="1">
      <c r="A54" s="337" t="s">
        <v>27</v>
      </c>
      <c r="B54" s="349">
        <v>8434</v>
      </c>
    </row>
    <row r="55" spans="1:3" s="87" customFormat="1" ht="48.75" thickTop="1" thickBot="1">
      <c r="A55" s="337" t="s">
        <v>28</v>
      </c>
      <c r="B55" s="349">
        <v>7098</v>
      </c>
    </row>
    <row r="56" spans="1:3" s="87" customFormat="1" ht="48.75" thickTop="1" thickBot="1">
      <c r="A56" s="337" t="s">
        <v>29</v>
      </c>
      <c r="B56" s="349">
        <v>1844</v>
      </c>
    </row>
    <row r="57" spans="1:3" s="87" customFormat="1" ht="64.5" thickTop="1" thickBot="1">
      <c r="A57" s="337" t="s">
        <v>30</v>
      </c>
      <c r="B57" s="349">
        <v>200679</v>
      </c>
    </row>
    <row r="58" spans="1:3" s="87" customFormat="1" ht="64.5" thickTop="1" thickBot="1">
      <c r="A58" s="337" t="s">
        <v>31</v>
      </c>
      <c r="B58" s="349">
        <v>48043</v>
      </c>
    </row>
    <row r="59" spans="1:3" s="87" customFormat="1" ht="33" thickTop="1" thickBot="1">
      <c r="A59" s="334" t="s">
        <v>430</v>
      </c>
      <c r="B59" s="348">
        <f>SUM(B47:B58)</f>
        <v>384976</v>
      </c>
    </row>
    <row r="60" spans="1:3" ht="15.75" thickTop="1"/>
    <row r="61" spans="1:3" s="316" customFormat="1" ht="15.75">
      <c r="A61" s="341" t="s">
        <v>444</v>
      </c>
      <c r="B61" s="341"/>
    </row>
    <row r="62" spans="1:3" s="316" customFormat="1" ht="15.75">
      <c r="A62" s="340" t="s">
        <v>445</v>
      </c>
      <c r="B62" s="340"/>
      <c r="C62" s="340"/>
    </row>
    <row r="65" spans="12:12" ht="15.75">
      <c r="L65" s="350"/>
    </row>
  </sheetData>
  <mergeCells count="9">
    <mergeCell ref="A41:I41"/>
    <mergeCell ref="A42:J42"/>
    <mergeCell ref="C44:D44"/>
    <mergeCell ref="A1:I1"/>
    <mergeCell ref="A2:J2"/>
    <mergeCell ref="C4:D4"/>
    <mergeCell ref="A21:I21"/>
    <mergeCell ref="A22:J22"/>
    <mergeCell ref="C24:D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0"/>
  <sheetViews>
    <sheetView rightToLeft="1" workbookViewId="0">
      <selection sqref="A1:XFD1"/>
    </sheetView>
  </sheetViews>
  <sheetFormatPr defaultColWidth="9.140625" defaultRowHeight="15.75"/>
  <cols>
    <col min="1" max="1" width="14.140625" style="9" customWidth="1"/>
    <col min="2" max="2" width="58" style="9" customWidth="1"/>
    <col min="3" max="3" width="16.7109375" style="9" customWidth="1"/>
    <col min="4" max="4" width="11.28515625" style="9" customWidth="1"/>
    <col min="5" max="5" width="12.85546875" style="9" customWidth="1"/>
    <col min="6" max="6" width="29.28515625" style="9" customWidth="1"/>
    <col min="7" max="7" width="16.28515625" style="9" customWidth="1"/>
    <col min="8" max="8" width="11.42578125" style="9" customWidth="1"/>
    <col min="9" max="9" width="16.5703125" style="9" customWidth="1"/>
    <col min="10" max="16384" width="9.140625" style="9"/>
  </cols>
  <sheetData>
    <row r="1" spans="1:13" ht="38.25" customHeight="1">
      <c r="A1" s="397" t="s">
        <v>58</v>
      </c>
      <c r="B1" s="401"/>
      <c r="C1" s="401"/>
      <c r="D1" s="401"/>
      <c r="E1" s="401"/>
      <c r="F1" s="26"/>
      <c r="G1" s="26"/>
      <c r="H1" s="26"/>
      <c r="I1" s="26"/>
      <c r="J1" s="26"/>
      <c r="K1" s="26"/>
      <c r="L1" s="26"/>
      <c r="M1" s="26"/>
    </row>
    <row r="2" spans="1:13" ht="38.25" customHeight="1">
      <c r="A2" s="40"/>
      <c r="B2" s="41"/>
      <c r="C2" s="41"/>
      <c r="D2" s="41"/>
      <c r="E2" s="41"/>
      <c r="F2" s="26"/>
      <c r="G2" s="26"/>
      <c r="H2" s="26"/>
      <c r="I2" s="26"/>
      <c r="J2" s="26"/>
      <c r="K2" s="26"/>
      <c r="L2" s="26"/>
      <c r="M2" s="26"/>
    </row>
    <row r="3" spans="1:13" s="2" customFormat="1">
      <c r="A3" s="398" t="s">
        <v>83</v>
      </c>
      <c r="B3" s="398"/>
      <c r="C3" s="402"/>
      <c r="D3" s="402"/>
      <c r="E3" s="402"/>
      <c r="F3" s="39"/>
    </row>
    <row r="4" spans="1:13" s="2" customFormat="1">
      <c r="A4" s="38"/>
      <c r="B4" s="38"/>
      <c r="C4" s="39"/>
      <c r="D4" s="39"/>
      <c r="E4" s="39"/>
      <c r="F4" s="39"/>
    </row>
    <row r="5" spans="1:13" ht="71.25" customHeight="1">
      <c r="A5" s="403" t="s">
        <v>41</v>
      </c>
      <c r="B5" s="403" t="s">
        <v>39</v>
      </c>
      <c r="C5" s="403" t="s">
        <v>85</v>
      </c>
      <c r="D5" s="404"/>
      <c r="E5" s="404"/>
      <c r="F5" s="404"/>
      <c r="G5" s="404"/>
      <c r="H5" s="404"/>
      <c r="I5" s="404"/>
      <c r="J5" s="405" t="s">
        <v>45</v>
      </c>
      <c r="K5" s="26"/>
      <c r="L5" s="26"/>
      <c r="M5" s="26"/>
    </row>
    <row r="6" spans="1:13" ht="47.25">
      <c r="A6" s="403"/>
      <c r="B6" s="403"/>
      <c r="C6" s="27" t="s">
        <v>90</v>
      </c>
      <c r="D6" s="28" t="s">
        <v>92</v>
      </c>
      <c r="E6" s="27" t="s">
        <v>91</v>
      </c>
      <c r="F6" s="28" t="s">
        <v>42</v>
      </c>
      <c r="G6" s="29" t="s">
        <v>93</v>
      </c>
      <c r="H6" s="27" t="s">
        <v>94</v>
      </c>
      <c r="I6" s="29" t="s">
        <v>95</v>
      </c>
      <c r="J6" s="406"/>
    </row>
    <row r="7" spans="1:13" ht="54" customHeight="1">
      <c r="A7" s="406" t="s">
        <v>43</v>
      </c>
      <c r="B7" s="73" t="s">
        <v>36</v>
      </c>
      <c r="C7" s="31">
        <v>2592</v>
      </c>
      <c r="D7" s="31">
        <v>149</v>
      </c>
      <c r="E7" s="31">
        <v>13</v>
      </c>
      <c r="F7" s="31">
        <v>32</v>
      </c>
      <c r="G7" s="31">
        <v>151</v>
      </c>
      <c r="H7" s="31">
        <v>664</v>
      </c>
      <c r="I7" s="31">
        <v>0</v>
      </c>
      <c r="J7" s="42">
        <f>SUM(C7:I7)</f>
        <v>3601</v>
      </c>
    </row>
    <row r="8" spans="1:13" ht="54" customHeight="1">
      <c r="A8" s="403"/>
      <c r="B8" s="74" t="s">
        <v>0</v>
      </c>
      <c r="C8" s="13">
        <v>14776</v>
      </c>
      <c r="D8" s="13">
        <v>3506</v>
      </c>
      <c r="E8" s="13">
        <v>384</v>
      </c>
      <c r="F8" s="13">
        <v>829</v>
      </c>
      <c r="G8" s="13">
        <v>1969</v>
      </c>
      <c r="H8" s="13">
        <v>2771</v>
      </c>
      <c r="I8" s="13">
        <v>9</v>
      </c>
      <c r="J8" s="42">
        <f t="shared" ref="J8:J48" si="0">SUM(C8:I8)</f>
        <v>24244</v>
      </c>
    </row>
    <row r="9" spans="1:13" ht="54" customHeight="1">
      <c r="A9" s="403"/>
      <c r="B9" s="74" t="s">
        <v>1</v>
      </c>
      <c r="C9" s="13">
        <v>9823</v>
      </c>
      <c r="D9" s="13">
        <v>1922</v>
      </c>
      <c r="E9" s="13">
        <v>295</v>
      </c>
      <c r="F9" s="13">
        <v>133</v>
      </c>
      <c r="G9" s="13">
        <v>3057</v>
      </c>
      <c r="H9" s="13">
        <v>752</v>
      </c>
      <c r="I9" s="13">
        <v>0</v>
      </c>
      <c r="J9" s="42">
        <f t="shared" si="0"/>
        <v>15982</v>
      </c>
    </row>
    <row r="10" spans="1:13" ht="54" customHeight="1">
      <c r="A10" s="403"/>
      <c r="B10" s="74" t="s">
        <v>2</v>
      </c>
      <c r="C10" s="13">
        <v>173196</v>
      </c>
      <c r="D10" s="13">
        <v>32241</v>
      </c>
      <c r="E10" s="13">
        <v>5014</v>
      </c>
      <c r="F10" s="13">
        <v>8387</v>
      </c>
      <c r="G10" s="13">
        <v>21974</v>
      </c>
      <c r="H10" s="13">
        <v>17107</v>
      </c>
      <c r="I10" s="13">
        <v>2546</v>
      </c>
      <c r="J10" s="42">
        <f t="shared" si="0"/>
        <v>260465</v>
      </c>
    </row>
    <row r="11" spans="1:13" ht="54" customHeight="1">
      <c r="A11" s="403"/>
      <c r="B11" s="74" t="s">
        <v>3</v>
      </c>
      <c r="C11" s="13">
        <v>3226</v>
      </c>
      <c r="D11" s="13">
        <v>605</v>
      </c>
      <c r="E11" s="13">
        <v>13</v>
      </c>
      <c r="F11" s="13">
        <v>688</v>
      </c>
      <c r="G11" s="13">
        <v>15</v>
      </c>
      <c r="H11" s="13">
        <v>508</v>
      </c>
      <c r="I11" s="13">
        <v>601</v>
      </c>
      <c r="J11" s="42">
        <f t="shared" si="0"/>
        <v>5656</v>
      </c>
    </row>
    <row r="12" spans="1:13" ht="54" customHeight="1">
      <c r="A12" s="403"/>
      <c r="B12" s="74" t="s">
        <v>4</v>
      </c>
      <c r="C12" s="13">
        <v>123992</v>
      </c>
      <c r="D12" s="13">
        <v>71471</v>
      </c>
      <c r="E12" s="13">
        <v>346</v>
      </c>
      <c r="F12" s="13">
        <v>40138</v>
      </c>
      <c r="G12" s="13">
        <v>23121</v>
      </c>
      <c r="H12" s="13">
        <v>7915</v>
      </c>
      <c r="I12" s="13">
        <v>2674</v>
      </c>
      <c r="J12" s="42">
        <f t="shared" si="0"/>
        <v>269657</v>
      </c>
    </row>
    <row r="13" spans="1:13" ht="54" customHeight="1">
      <c r="A13" s="403"/>
      <c r="B13" s="74" t="s">
        <v>38</v>
      </c>
      <c r="C13" s="13">
        <v>38566</v>
      </c>
      <c r="D13" s="13">
        <v>7653</v>
      </c>
      <c r="E13" s="13">
        <v>192</v>
      </c>
      <c r="F13" s="13">
        <v>1983</v>
      </c>
      <c r="G13" s="13">
        <v>2759</v>
      </c>
      <c r="H13" s="13">
        <v>14306</v>
      </c>
      <c r="I13" s="13">
        <v>1538</v>
      </c>
      <c r="J13" s="42">
        <f t="shared" si="0"/>
        <v>66997</v>
      </c>
    </row>
    <row r="14" spans="1:13" ht="54" customHeight="1">
      <c r="A14" s="403"/>
      <c r="B14" s="74" t="s">
        <v>5</v>
      </c>
      <c r="C14" s="13">
        <v>2935</v>
      </c>
      <c r="D14" s="13">
        <v>2234</v>
      </c>
      <c r="E14" s="13">
        <v>0</v>
      </c>
      <c r="F14" s="13">
        <v>2131</v>
      </c>
      <c r="G14" s="13">
        <v>75</v>
      </c>
      <c r="H14" s="13">
        <v>216</v>
      </c>
      <c r="I14" s="13">
        <v>1</v>
      </c>
      <c r="J14" s="42">
        <f t="shared" si="0"/>
        <v>7592</v>
      </c>
    </row>
    <row r="15" spans="1:13" ht="54" customHeight="1">
      <c r="A15" s="403"/>
      <c r="B15" s="74" t="s">
        <v>6</v>
      </c>
      <c r="C15" s="13">
        <v>4991</v>
      </c>
      <c r="D15" s="13">
        <v>172</v>
      </c>
      <c r="E15" s="13">
        <v>2</v>
      </c>
      <c r="F15" s="13">
        <v>34</v>
      </c>
      <c r="G15" s="13">
        <v>58</v>
      </c>
      <c r="H15" s="13">
        <v>1654</v>
      </c>
      <c r="I15" s="13">
        <v>0</v>
      </c>
      <c r="J15" s="42">
        <f t="shared" si="0"/>
        <v>6911</v>
      </c>
    </row>
    <row r="16" spans="1:13" ht="54" customHeight="1">
      <c r="A16" s="403"/>
      <c r="B16" s="74" t="s">
        <v>7</v>
      </c>
      <c r="C16" s="13">
        <v>62338</v>
      </c>
      <c r="D16" s="13">
        <v>5535</v>
      </c>
      <c r="E16" s="13">
        <v>54</v>
      </c>
      <c r="F16" s="13">
        <v>2912</v>
      </c>
      <c r="G16" s="13">
        <v>202</v>
      </c>
      <c r="H16" s="13">
        <v>7577</v>
      </c>
      <c r="I16" s="13">
        <v>141</v>
      </c>
      <c r="J16" s="42">
        <f t="shared" si="0"/>
        <v>78759</v>
      </c>
    </row>
    <row r="17" spans="1:13" ht="54" customHeight="1">
      <c r="A17" s="403"/>
      <c r="B17" s="74" t="s">
        <v>8</v>
      </c>
      <c r="C17" s="13">
        <v>38218</v>
      </c>
      <c r="D17" s="13">
        <v>10789</v>
      </c>
      <c r="E17" s="13">
        <v>180</v>
      </c>
      <c r="F17" s="13">
        <v>1800</v>
      </c>
      <c r="G17" s="13">
        <v>1974</v>
      </c>
      <c r="H17" s="13">
        <v>2922</v>
      </c>
      <c r="I17" s="13">
        <v>537</v>
      </c>
      <c r="J17" s="42">
        <f t="shared" si="0"/>
        <v>56420</v>
      </c>
    </row>
    <row r="18" spans="1:13" ht="54" customHeight="1">
      <c r="A18" s="403"/>
      <c r="B18" s="74" t="s">
        <v>9</v>
      </c>
      <c r="C18" s="13">
        <v>8844</v>
      </c>
      <c r="D18" s="13">
        <v>525</v>
      </c>
      <c r="E18" s="13">
        <v>13</v>
      </c>
      <c r="F18" s="13">
        <v>25</v>
      </c>
      <c r="G18" s="13">
        <v>49</v>
      </c>
      <c r="H18" s="13">
        <v>629</v>
      </c>
      <c r="I18" s="13">
        <v>16</v>
      </c>
      <c r="J18" s="42">
        <f t="shared" si="0"/>
        <v>10101</v>
      </c>
    </row>
    <row r="19" spans="1:13" ht="54" customHeight="1">
      <c r="A19" s="403"/>
      <c r="B19" s="74" t="s">
        <v>10</v>
      </c>
      <c r="C19" s="13">
        <v>9969</v>
      </c>
      <c r="D19" s="13">
        <v>947</v>
      </c>
      <c r="E19" s="13">
        <v>30</v>
      </c>
      <c r="F19" s="13">
        <v>40</v>
      </c>
      <c r="G19" s="13">
        <v>339</v>
      </c>
      <c r="H19" s="13">
        <v>4081</v>
      </c>
      <c r="I19" s="13">
        <v>31</v>
      </c>
      <c r="J19" s="42">
        <f t="shared" si="0"/>
        <v>15437</v>
      </c>
    </row>
    <row r="20" spans="1:13" ht="54" customHeight="1">
      <c r="A20" s="403"/>
      <c r="B20" s="74" t="s">
        <v>11</v>
      </c>
      <c r="C20" s="13">
        <v>62997</v>
      </c>
      <c r="D20" s="13">
        <v>17971</v>
      </c>
      <c r="E20" s="13">
        <v>0</v>
      </c>
      <c r="F20" s="13">
        <v>2461</v>
      </c>
      <c r="G20" s="13">
        <v>3619</v>
      </c>
      <c r="H20" s="13">
        <v>594</v>
      </c>
      <c r="I20" s="13">
        <v>117</v>
      </c>
      <c r="J20" s="42">
        <f t="shared" si="0"/>
        <v>87759</v>
      </c>
    </row>
    <row r="21" spans="1:13" ht="54" customHeight="1">
      <c r="A21" s="403"/>
      <c r="B21" s="74" t="s">
        <v>12</v>
      </c>
      <c r="C21" s="13">
        <v>41082</v>
      </c>
      <c r="D21" s="13">
        <v>27349</v>
      </c>
      <c r="E21" s="13">
        <v>151</v>
      </c>
      <c r="F21" s="13">
        <v>74261</v>
      </c>
      <c r="G21" s="13">
        <v>1079</v>
      </c>
      <c r="H21" s="13">
        <v>25517</v>
      </c>
      <c r="I21" s="13">
        <v>566</v>
      </c>
      <c r="J21" s="42">
        <f t="shared" si="0"/>
        <v>170005</v>
      </c>
    </row>
    <row r="22" spans="1:13" ht="54" customHeight="1">
      <c r="A22" s="403"/>
      <c r="B22" s="74" t="s">
        <v>13</v>
      </c>
      <c r="C22" s="13">
        <v>223437</v>
      </c>
      <c r="D22" s="13">
        <v>44194</v>
      </c>
      <c r="E22" s="13">
        <v>953</v>
      </c>
      <c r="F22" s="13">
        <v>8834</v>
      </c>
      <c r="G22" s="13">
        <v>5394</v>
      </c>
      <c r="H22" s="13">
        <v>93453</v>
      </c>
      <c r="I22" s="13">
        <v>5161</v>
      </c>
      <c r="J22" s="42">
        <f t="shared" si="0"/>
        <v>381426</v>
      </c>
    </row>
    <row r="23" spans="1:13" ht="54" customHeight="1">
      <c r="A23" s="403"/>
      <c r="B23" s="74" t="s">
        <v>14</v>
      </c>
      <c r="C23" s="13">
        <v>6444</v>
      </c>
      <c r="D23" s="13">
        <v>3898</v>
      </c>
      <c r="E23" s="13">
        <v>198</v>
      </c>
      <c r="F23" s="13">
        <v>284</v>
      </c>
      <c r="G23" s="13">
        <v>353</v>
      </c>
      <c r="H23" s="13">
        <v>3445</v>
      </c>
      <c r="I23" s="13">
        <v>163</v>
      </c>
      <c r="J23" s="42">
        <f t="shared" si="0"/>
        <v>14785</v>
      </c>
    </row>
    <row r="24" spans="1:13" ht="54" customHeight="1">
      <c r="A24" s="403"/>
      <c r="B24" s="74" t="s">
        <v>15</v>
      </c>
      <c r="C24" s="13">
        <v>3615</v>
      </c>
      <c r="D24" s="13">
        <v>2042</v>
      </c>
      <c r="E24" s="13">
        <v>0</v>
      </c>
      <c r="F24" s="13">
        <v>2232</v>
      </c>
      <c r="G24" s="13">
        <v>278</v>
      </c>
      <c r="H24" s="13">
        <v>621</v>
      </c>
      <c r="I24" s="13">
        <v>27</v>
      </c>
      <c r="J24" s="42">
        <f t="shared" si="0"/>
        <v>8815</v>
      </c>
    </row>
    <row r="25" spans="1:13" ht="54" customHeight="1">
      <c r="A25" s="403"/>
      <c r="B25" s="74" t="s">
        <v>16</v>
      </c>
      <c r="C25" s="13">
        <v>27</v>
      </c>
      <c r="D25" s="13">
        <v>1</v>
      </c>
      <c r="E25" s="13">
        <v>0</v>
      </c>
      <c r="F25" s="13">
        <v>83</v>
      </c>
      <c r="G25" s="13">
        <v>0</v>
      </c>
      <c r="H25" s="13">
        <v>0</v>
      </c>
      <c r="I25" s="13">
        <v>0</v>
      </c>
      <c r="J25" s="42">
        <f t="shared" si="0"/>
        <v>111</v>
      </c>
    </row>
    <row r="26" spans="1:13" ht="54" customHeight="1">
      <c r="A26" s="403"/>
      <c r="B26" s="74" t="s">
        <v>17</v>
      </c>
      <c r="C26" s="13">
        <v>38962</v>
      </c>
      <c r="D26" s="13">
        <v>2704</v>
      </c>
      <c r="E26" s="13">
        <v>205</v>
      </c>
      <c r="F26" s="13">
        <v>568</v>
      </c>
      <c r="G26" s="13">
        <v>614</v>
      </c>
      <c r="H26" s="13">
        <v>12214</v>
      </c>
      <c r="I26" s="13">
        <v>32</v>
      </c>
      <c r="J26" s="42">
        <f t="shared" si="0"/>
        <v>55299</v>
      </c>
    </row>
    <row r="27" spans="1:13" ht="54" customHeight="1">
      <c r="A27" s="407" t="s">
        <v>35</v>
      </c>
      <c r="B27" s="407"/>
      <c r="C27" s="42">
        <f>SUM(C7:C26)</f>
        <v>870030</v>
      </c>
      <c r="D27" s="42">
        <f t="shared" ref="D27:I27" si="1">SUM(D7:D26)</f>
        <v>235908</v>
      </c>
      <c r="E27" s="42">
        <f t="shared" si="1"/>
        <v>8043</v>
      </c>
      <c r="F27" s="42">
        <f t="shared" si="1"/>
        <v>147855</v>
      </c>
      <c r="G27" s="42">
        <f t="shared" si="1"/>
        <v>67080</v>
      </c>
      <c r="H27" s="42">
        <f t="shared" si="1"/>
        <v>196946</v>
      </c>
      <c r="I27" s="42">
        <f t="shared" si="1"/>
        <v>14160</v>
      </c>
      <c r="J27" s="42">
        <f t="shared" si="0"/>
        <v>1540022</v>
      </c>
    </row>
    <row r="28" spans="1:13" ht="54" customHeight="1">
      <c r="A28" s="403" t="s">
        <v>44</v>
      </c>
      <c r="B28" s="74" t="s">
        <v>36</v>
      </c>
      <c r="C28" s="13">
        <v>2993</v>
      </c>
      <c r="D28" s="13">
        <v>95</v>
      </c>
      <c r="E28" s="13">
        <v>2</v>
      </c>
      <c r="F28" s="13">
        <v>2</v>
      </c>
      <c r="G28" s="13">
        <v>86</v>
      </c>
      <c r="H28" s="13">
        <v>641</v>
      </c>
      <c r="I28" s="13">
        <v>0</v>
      </c>
      <c r="J28" s="42">
        <f t="shared" si="0"/>
        <v>3819</v>
      </c>
    </row>
    <row r="29" spans="1:13" ht="54" customHeight="1">
      <c r="A29" s="404"/>
      <c r="B29" s="74" t="s">
        <v>0</v>
      </c>
      <c r="C29" s="13">
        <v>12593</v>
      </c>
      <c r="D29" s="13">
        <v>5326</v>
      </c>
      <c r="E29" s="13">
        <v>214</v>
      </c>
      <c r="F29" s="13">
        <v>1746</v>
      </c>
      <c r="G29" s="13">
        <v>2554</v>
      </c>
      <c r="H29" s="13">
        <v>2573</v>
      </c>
      <c r="I29" s="13">
        <v>8</v>
      </c>
      <c r="J29" s="42">
        <f t="shared" si="0"/>
        <v>25014</v>
      </c>
      <c r="K29" s="26"/>
      <c r="L29" s="26"/>
      <c r="M29" s="26"/>
    </row>
    <row r="30" spans="1:13" ht="54" customHeight="1">
      <c r="A30" s="404"/>
      <c r="B30" s="74" t="s">
        <v>1</v>
      </c>
      <c r="C30" s="13">
        <v>8660</v>
      </c>
      <c r="D30" s="13">
        <v>3679</v>
      </c>
      <c r="E30" s="13">
        <v>486</v>
      </c>
      <c r="F30" s="13">
        <v>341</v>
      </c>
      <c r="G30" s="13">
        <v>3831</v>
      </c>
      <c r="H30" s="13">
        <v>674</v>
      </c>
      <c r="I30" s="13">
        <v>16</v>
      </c>
      <c r="J30" s="42">
        <f t="shared" si="0"/>
        <v>17687</v>
      </c>
    </row>
    <row r="31" spans="1:13" ht="50.25" customHeight="1">
      <c r="A31" s="404"/>
      <c r="B31" s="74" t="s">
        <v>2</v>
      </c>
      <c r="C31" s="13">
        <v>159100</v>
      </c>
      <c r="D31" s="13">
        <v>29831</v>
      </c>
      <c r="E31" s="13">
        <v>3470</v>
      </c>
      <c r="F31" s="13">
        <v>6420</v>
      </c>
      <c r="G31" s="13">
        <v>20668</v>
      </c>
      <c r="H31" s="13">
        <v>15111</v>
      </c>
      <c r="I31" s="13">
        <v>2127</v>
      </c>
      <c r="J31" s="42">
        <f t="shared" si="0"/>
        <v>236727</v>
      </c>
    </row>
    <row r="32" spans="1:13" ht="50.25" customHeight="1">
      <c r="A32" s="404"/>
      <c r="B32" s="74" t="s">
        <v>3</v>
      </c>
      <c r="C32" s="13">
        <v>3468</v>
      </c>
      <c r="D32" s="13">
        <v>1231</v>
      </c>
      <c r="E32" s="13">
        <v>0</v>
      </c>
      <c r="F32" s="13">
        <v>185</v>
      </c>
      <c r="G32" s="13">
        <v>6</v>
      </c>
      <c r="H32" s="13">
        <v>407</v>
      </c>
      <c r="I32" s="13">
        <v>852</v>
      </c>
      <c r="J32" s="42">
        <f t="shared" si="0"/>
        <v>6149</v>
      </c>
    </row>
    <row r="33" spans="1:10" ht="31.5">
      <c r="A33" s="404"/>
      <c r="B33" s="74" t="s">
        <v>4</v>
      </c>
      <c r="C33" s="13">
        <v>125191</v>
      </c>
      <c r="D33" s="13">
        <v>60603</v>
      </c>
      <c r="E33" s="13">
        <v>337</v>
      </c>
      <c r="F33" s="13">
        <v>65165</v>
      </c>
      <c r="G33" s="13">
        <v>15670</v>
      </c>
      <c r="H33" s="13">
        <v>7199</v>
      </c>
      <c r="I33" s="13">
        <v>674</v>
      </c>
      <c r="J33" s="42">
        <f t="shared" si="0"/>
        <v>274839</v>
      </c>
    </row>
    <row r="34" spans="1:10" ht="31.5">
      <c r="A34" s="404"/>
      <c r="B34" s="74" t="s">
        <v>38</v>
      </c>
      <c r="C34" s="13">
        <v>45463</v>
      </c>
      <c r="D34" s="13">
        <v>6299</v>
      </c>
      <c r="E34" s="13">
        <v>207</v>
      </c>
      <c r="F34" s="13">
        <v>2399</v>
      </c>
      <c r="G34" s="13">
        <v>991</v>
      </c>
      <c r="H34" s="13">
        <v>13443</v>
      </c>
      <c r="I34" s="13">
        <v>988</v>
      </c>
      <c r="J34" s="42">
        <f t="shared" si="0"/>
        <v>69790</v>
      </c>
    </row>
    <row r="35" spans="1:10" ht="31.5">
      <c r="A35" s="404"/>
      <c r="B35" s="74" t="s">
        <v>5</v>
      </c>
      <c r="C35" s="13">
        <v>3817</v>
      </c>
      <c r="D35" s="13">
        <v>1721</v>
      </c>
      <c r="E35" s="13">
        <v>7</v>
      </c>
      <c r="F35" s="13">
        <v>2052</v>
      </c>
      <c r="G35" s="13">
        <v>58</v>
      </c>
      <c r="H35" s="13">
        <v>624</v>
      </c>
      <c r="I35" s="13">
        <v>2</v>
      </c>
      <c r="J35" s="42">
        <f t="shared" si="0"/>
        <v>8281</v>
      </c>
    </row>
    <row r="36" spans="1:10" ht="31.5">
      <c r="A36" s="404"/>
      <c r="B36" s="74" t="s">
        <v>6</v>
      </c>
      <c r="C36" s="13">
        <v>3635</v>
      </c>
      <c r="D36" s="13">
        <v>168</v>
      </c>
      <c r="E36" s="13">
        <v>5</v>
      </c>
      <c r="F36" s="13">
        <v>118</v>
      </c>
      <c r="G36" s="13">
        <v>63</v>
      </c>
      <c r="H36" s="13">
        <v>1616</v>
      </c>
      <c r="I36" s="13">
        <v>0</v>
      </c>
      <c r="J36" s="42">
        <f t="shared" si="0"/>
        <v>5605</v>
      </c>
    </row>
    <row r="37" spans="1:10" ht="31.5">
      <c r="A37" s="404"/>
      <c r="B37" s="74" t="s">
        <v>7</v>
      </c>
      <c r="C37" s="13">
        <v>62754</v>
      </c>
      <c r="D37" s="13">
        <v>6016</v>
      </c>
      <c r="E37" s="13">
        <v>13</v>
      </c>
      <c r="F37" s="13">
        <v>2138</v>
      </c>
      <c r="G37" s="13">
        <v>265</v>
      </c>
      <c r="H37" s="13">
        <v>9511</v>
      </c>
      <c r="I37" s="13">
        <v>107</v>
      </c>
      <c r="J37" s="42">
        <f t="shared" si="0"/>
        <v>80804</v>
      </c>
    </row>
    <row r="38" spans="1:10" ht="31.5">
      <c r="A38" s="404"/>
      <c r="B38" s="74" t="s">
        <v>8</v>
      </c>
      <c r="C38" s="13">
        <v>32037</v>
      </c>
      <c r="D38" s="13">
        <v>12432</v>
      </c>
      <c r="E38" s="13">
        <v>188</v>
      </c>
      <c r="F38" s="13">
        <v>1820</v>
      </c>
      <c r="G38" s="13">
        <v>2632</v>
      </c>
      <c r="H38" s="13">
        <v>3521</v>
      </c>
      <c r="I38" s="13">
        <v>683</v>
      </c>
      <c r="J38" s="42">
        <f t="shared" si="0"/>
        <v>53313</v>
      </c>
    </row>
    <row r="39" spans="1:10" ht="31.5">
      <c r="A39" s="404"/>
      <c r="B39" s="74" t="s">
        <v>9</v>
      </c>
      <c r="C39" s="13">
        <v>4957</v>
      </c>
      <c r="D39" s="13">
        <v>597</v>
      </c>
      <c r="E39" s="13">
        <v>9</v>
      </c>
      <c r="F39" s="13">
        <v>87</v>
      </c>
      <c r="G39" s="13">
        <v>115</v>
      </c>
      <c r="H39" s="13">
        <v>660</v>
      </c>
      <c r="I39" s="13">
        <v>90</v>
      </c>
      <c r="J39" s="42">
        <f t="shared" si="0"/>
        <v>6515</v>
      </c>
    </row>
    <row r="40" spans="1:10" ht="31.5">
      <c r="A40" s="404"/>
      <c r="B40" s="74" t="s">
        <v>10</v>
      </c>
      <c r="C40" s="13">
        <v>6061</v>
      </c>
      <c r="D40" s="13">
        <v>628</v>
      </c>
      <c r="E40" s="13">
        <v>43</v>
      </c>
      <c r="F40" s="13">
        <v>125</v>
      </c>
      <c r="G40" s="13">
        <v>529</v>
      </c>
      <c r="H40" s="13">
        <v>3722</v>
      </c>
      <c r="I40" s="13">
        <v>4</v>
      </c>
      <c r="J40" s="42">
        <f t="shared" si="0"/>
        <v>11112</v>
      </c>
    </row>
    <row r="41" spans="1:10" ht="63">
      <c r="A41" s="404"/>
      <c r="B41" s="74" t="s">
        <v>11</v>
      </c>
      <c r="C41" s="13">
        <v>62848</v>
      </c>
      <c r="D41" s="13">
        <v>6545</v>
      </c>
      <c r="E41" s="13">
        <v>7</v>
      </c>
      <c r="F41" s="13">
        <v>16096</v>
      </c>
      <c r="G41" s="13">
        <v>8010</v>
      </c>
      <c r="H41" s="13">
        <v>576</v>
      </c>
      <c r="I41" s="13">
        <v>204</v>
      </c>
      <c r="J41" s="42">
        <f t="shared" si="0"/>
        <v>94286</v>
      </c>
    </row>
    <row r="42" spans="1:10" ht="31.5">
      <c r="A42" s="404"/>
      <c r="B42" s="74" t="s">
        <v>12</v>
      </c>
      <c r="C42" s="13">
        <v>43377</v>
      </c>
      <c r="D42" s="13">
        <v>23848</v>
      </c>
      <c r="E42" s="13">
        <v>186</v>
      </c>
      <c r="F42" s="13">
        <v>56922</v>
      </c>
      <c r="G42" s="13">
        <v>251</v>
      </c>
      <c r="H42" s="13">
        <v>23562</v>
      </c>
      <c r="I42" s="13">
        <v>225</v>
      </c>
      <c r="J42" s="42">
        <f t="shared" si="0"/>
        <v>148371</v>
      </c>
    </row>
    <row r="43" spans="1:10" ht="31.5">
      <c r="A43" s="404"/>
      <c r="B43" s="74" t="s">
        <v>13</v>
      </c>
      <c r="C43" s="13">
        <v>184955</v>
      </c>
      <c r="D43" s="13">
        <v>25614</v>
      </c>
      <c r="E43" s="13">
        <v>354</v>
      </c>
      <c r="F43" s="13">
        <v>7233</v>
      </c>
      <c r="G43" s="13">
        <v>4959</v>
      </c>
      <c r="H43" s="13">
        <v>78750</v>
      </c>
      <c r="I43" s="13">
        <v>2368</v>
      </c>
      <c r="J43" s="42">
        <f t="shared" si="0"/>
        <v>304233</v>
      </c>
    </row>
    <row r="44" spans="1:10" ht="31.5">
      <c r="A44" s="404"/>
      <c r="B44" s="74" t="s">
        <v>14</v>
      </c>
      <c r="C44" s="13">
        <v>4222</v>
      </c>
      <c r="D44" s="13">
        <v>1992</v>
      </c>
      <c r="E44" s="13">
        <v>4</v>
      </c>
      <c r="F44" s="13">
        <v>636</v>
      </c>
      <c r="G44" s="13">
        <v>201</v>
      </c>
      <c r="H44" s="13">
        <v>3709</v>
      </c>
      <c r="I44" s="13">
        <v>257</v>
      </c>
      <c r="J44" s="42">
        <f t="shared" si="0"/>
        <v>11021</v>
      </c>
    </row>
    <row r="45" spans="1:10" ht="31.5">
      <c r="A45" s="404"/>
      <c r="B45" s="74" t="s">
        <v>15</v>
      </c>
      <c r="C45" s="13">
        <v>2765</v>
      </c>
      <c r="D45" s="13">
        <v>2898</v>
      </c>
      <c r="E45" s="13">
        <v>0</v>
      </c>
      <c r="F45" s="13">
        <v>2054</v>
      </c>
      <c r="G45" s="13">
        <v>421</v>
      </c>
      <c r="H45" s="13">
        <v>630</v>
      </c>
      <c r="I45" s="13">
        <v>53</v>
      </c>
      <c r="J45" s="42">
        <f t="shared" si="0"/>
        <v>8821</v>
      </c>
    </row>
    <row r="46" spans="1:10" ht="31.5">
      <c r="A46" s="404"/>
      <c r="B46" s="74" t="s">
        <v>82</v>
      </c>
      <c r="C46" s="13">
        <v>113</v>
      </c>
      <c r="D46" s="13">
        <v>46</v>
      </c>
      <c r="E46" s="13">
        <v>0</v>
      </c>
      <c r="F46" s="13">
        <v>46</v>
      </c>
      <c r="G46" s="13">
        <v>0</v>
      </c>
      <c r="H46" s="13">
        <v>0</v>
      </c>
      <c r="I46" s="13">
        <v>0</v>
      </c>
      <c r="J46" s="42">
        <f t="shared" si="0"/>
        <v>205</v>
      </c>
    </row>
    <row r="47" spans="1:10" ht="31.5">
      <c r="A47" s="404"/>
      <c r="B47" s="74" t="s">
        <v>17</v>
      </c>
      <c r="C47" s="13">
        <v>33126</v>
      </c>
      <c r="D47" s="13">
        <v>2408</v>
      </c>
      <c r="E47" s="13">
        <v>144</v>
      </c>
      <c r="F47" s="13">
        <v>191</v>
      </c>
      <c r="G47" s="13">
        <v>715</v>
      </c>
      <c r="H47" s="13">
        <v>12482</v>
      </c>
      <c r="I47" s="13">
        <v>60</v>
      </c>
      <c r="J47" s="42">
        <f t="shared" si="0"/>
        <v>49126</v>
      </c>
    </row>
    <row r="48" spans="1:10" ht="57" customHeight="1">
      <c r="A48" s="408" t="s">
        <v>84</v>
      </c>
      <c r="B48" s="409"/>
      <c r="C48" s="42">
        <f>SUM(C28:C47)</f>
        <v>802135</v>
      </c>
      <c r="D48" s="42">
        <f t="shared" ref="D48:I48" si="2">SUM(D28:D47)</f>
        <v>191977</v>
      </c>
      <c r="E48" s="42">
        <f t="shared" si="2"/>
        <v>5676</v>
      </c>
      <c r="F48" s="42">
        <f t="shared" si="2"/>
        <v>165776</v>
      </c>
      <c r="G48" s="42">
        <f t="shared" si="2"/>
        <v>62025</v>
      </c>
      <c r="H48" s="42">
        <f t="shared" si="2"/>
        <v>179411</v>
      </c>
      <c r="I48" s="42">
        <f t="shared" si="2"/>
        <v>8718</v>
      </c>
      <c r="J48" s="42">
        <f t="shared" si="0"/>
        <v>1415718</v>
      </c>
    </row>
    <row r="50" spans="1:20" s="43" customFormat="1" ht="39" customHeight="1">
      <c r="A50" s="399" t="s">
        <v>54</v>
      </c>
      <c r="B50" s="400"/>
      <c r="C50" s="400"/>
      <c r="D50" s="400"/>
      <c r="E50" s="400"/>
      <c r="F50" s="400"/>
      <c r="G50" s="400"/>
      <c r="H50" s="400"/>
      <c r="I50" s="400"/>
      <c r="J50" s="400"/>
      <c r="K50" s="400"/>
      <c r="L50" s="400"/>
      <c r="M50" s="400"/>
      <c r="N50" s="400"/>
      <c r="R50" s="44"/>
      <c r="S50" s="44"/>
      <c r="T50" s="45"/>
    </row>
  </sheetData>
  <mergeCells count="12">
    <mergeCell ref="A50:N50"/>
    <mergeCell ref="A1:E1"/>
    <mergeCell ref="A3:B3"/>
    <mergeCell ref="C3:E3"/>
    <mergeCell ref="A5:A6"/>
    <mergeCell ref="B5:B6"/>
    <mergeCell ref="C5:I5"/>
    <mergeCell ref="J5:J6"/>
    <mergeCell ref="A7:A26"/>
    <mergeCell ref="A27:B27"/>
    <mergeCell ref="A28:A47"/>
    <mergeCell ref="A48:B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20"/>
  <sheetViews>
    <sheetView rightToLeft="1" workbookViewId="0">
      <selection activeCell="A31" sqref="A31:I31"/>
    </sheetView>
  </sheetViews>
  <sheetFormatPr defaultRowHeight="15"/>
  <cols>
    <col min="1" max="1" width="40.140625" customWidth="1"/>
    <col min="2" max="2" width="16.85546875" bestFit="1" customWidth="1"/>
    <col min="4" max="4" width="18.85546875" bestFit="1" customWidth="1"/>
    <col min="6" max="6" width="9.140625" customWidth="1"/>
    <col min="7" max="7" width="19.28515625" bestFit="1" customWidth="1"/>
    <col min="8" max="8" width="9.140625" customWidth="1"/>
    <col min="10" max="10" width="12.7109375" customWidth="1"/>
    <col min="11" max="11" width="18.28515625" customWidth="1"/>
    <col min="15" max="15" width="18.42578125" customWidth="1"/>
    <col min="16" max="16" width="15.42578125" customWidth="1"/>
  </cols>
  <sheetData>
    <row r="1" spans="1:16" ht="45.75" customHeight="1">
      <c r="A1" s="397" t="s">
        <v>503</v>
      </c>
      <c r="B1" s="397"/>
      <c r="C1" s="397"/>
      <c r="D1" s="397"/>
      <c r="E1" s="397"/>
      <c r="F1" s="397"/>
      <c r="G1" s="397"/>
      <c r="H1" s="397"/>
      <c r="I1" s="397"/>
    </row>
    <row r="2" spans="1:16" ht="15" customHeight="1">
      <c r="A2" s="40"/>
      <c r="B2" s="40"/>
      <c r="C2" s="40"/>
      <c r="D2" s="40"/>
      <c r="E2" s="40"/>
      <c r="F2" s="40"/>
      <c r="G2" s="40"/>
      <c r="H2" s="40"/>
      <c r="I2" s="40"/>
    </row>
    <row r="3" spans="1:16" s="2" customFormat="1" ht="15.75">
      <c r="A3" s="398" t="s">
        <v>46</v>
      </c>
      <c r="B3" s="398"/>
      <c r="C3" s="398" t="s">
        <v>47</v>
      </c>
      <c r="D3" s="398"/>
      <c r="E3" s="398"/>
      <c r="F3" s="398"/>
      <c r="G3" s="398"/>
    </row>
    <row r="4" spans="1:16" s="2" customFormat="1" ht="15.75">
      <c r="A4" s="38"/>
      <c r="B4" s="38"/>
      <c r="C4" s="39"/>
      <c r="D4" s="39"/>
      <c r="E4" s="39"/>
      <c r="F4" s="39"/>
    </row>
    <row r="5" spans="1:16" ht="37.5">
      <c r="A5" s="54" t="s">
        <v>59</v>
      </c>
      <c r="B5" s="55" t="s">
        <v>33</v>
      </c>
    </row>
    <row r="6" spans="1:16" ht="28.5">
      <c r="A6" s="56" t="s">
        <v>75</v>
      </c>
      <c r="B6" s="53">
        <v>226914</v>
      </c>
      <c r="D6" s="49"/>
      <c r="P6" s="61"/>
    </row>
    <row r="7" spans="1:16" ht="28.5">
      <c r="A7" s="56" t="s">
        <v>73</v>
      </c>
      <c r="B7" s="53">
        <v>165502</v>
      </c>
      <c r="D7" s="49"/>
      <c r="P7" s="61"/>
    </row>
    <row r="8" spans="1:16" ht="28.5">
      <c r="A8" s="57" t="s">
        <v>77</v>
      </c>
      <c r="B8" s="53">
        <v>134826</v>
      </c>
      <c r="D8" s="49"/>
      <c r="P8" s="61"/>
    </row>
    <row r="9" spans="1:16" ht="28.5">
      <c r="A9" s="56" t="s">
        <v>72</v>
      </c>
      <c r="B9" s="53">
        <v>88351</v>
      </c>
      <c r="D9" s="50"/>
      <c r="P9" s="61"/>
    </row>
    <row r="10" spans="1:16" ht="28.5">
      <c r="A10" s="56" t="s">
        <v>62</v>
      </c>
      <c r="B10" s="53">
        <v>52499</v>
      </c>
      <c r="D10" s="50"/>
      <c r="P10" s="61"/>
    </row>
    <row r="11" spans="1:16" ht="28.5">
      <c r="A11" s="56" t="s">
        <v>71</v>
      </c>
      <c r="B11" s="53">
        <v>51299</v>
      </c>
      <c r="D11" s="50"/>
      <c r="P11" s="62"/>
    </row>
    <row r="12" spans="1:16" ht="30">
      <c r="A12" s="52" t="s">
        <v>87</v>
      </c>
      <c r="B12" s="53">
        <v>47858</v>
      </c>
      <c r="D12" s="50"/>
      <c r="P12" s="61"/>
    </row>
    <row r="13" spans="1:16" ht="28.5">
      <c r="A13" s="56" t="s">
        <v>74</v>
      </c>
      <c r="B13" s="53">
        <v>43188</v>
      </c>
      <c r="D13" s="50"/>
      <c r="P13" s="61"/>
    </row>
    <row r="14" spans="1:16" ht="28.5">
      <c r="A14" s="56" t="s">
        <v>64</v>
      </c>
      <c r="B14" s="53">
        <v>39677</v>
      </c>
      <c r="D14" s="50"/>
      <c r="P14" s="61"/>
    </row>
    <row r="15" spans="1:16" ht="28.5">
      <c r="A15" s="56" t="s">
        <v>69</v>
      </c>
      <c r="B15" s="53">
        <v>33656</v>
      </c>
      <c r="D15" s="49"/>
      <c r="P15" s="61"/>
    </row>
    <row r="16" spans="1:16" ht="28.5">
      <c r="A16" s="56" t="s">
        <v>61</v>
      </c>
      <c r="B16" s="53">
        <v>32634</v>
      </c>
      <c r="D16" s="51"/>
      <c r="P16" s="61"/>
    </row>
    <row r="17" spans="1:16" ht="28.5">
      <c r="A17" s="57" t="s">
        <v>78</v>
      </c>
      <c r="B17" s="53">
        <v>31477</v>
      </c>
      <c r="P17" s="61"/>
    </row>
    <row r="18" spans="1:16" ht="28.5">
      <c r="A18" s="56" t="s">
        <v>63</v>
      </c>
      <c r="B18" s="53">
        <v>30581</v>
      </c>
      <c r="P18" s="61"/>
    </row>
    <row r="19" spans="1:16" ht="30">
      <c r="A19" s="52" t="s">
        <v>88</v>
      </c>
      <c r="B19" s="53">
        <v>29084</v>
      </c>
      <c r="P19" s="61"/>
    </row>
    <row r="20" spans="1:16" ht="30">
      <c r="A20" s="52" t="s">
        <v>89</v>
      </c>
      <c r="B20" s="53">
        <v>28293</v>
      </c>
      <c r="P20" s="62"/>
    </row>
    <row r="21" spans="1:16" ht="28.5">
      <c r="A21" s="56" t="s">
        <v>68</v>
      </c>
      <c r="B21" s="53">
        <v>27940</v>
      </c>
      <c r="P21" s="61"/>
    </row>
    <row r="22" spans="1:16" ht="41.25" customHeight="1">
      <c r="A22" s="68" t="s">
        <v>115</v>
      </c>
      <c r="B22" s="53">
        <v>27731</v>
      </c>
      <c r="P22" s="62"/>
    </row>
    <row r="23" spans="1:16" ht="30">
      <c r="A23" s="52" t="s">
        <v>86</v>
      </c>
      <c r="B23" s="53">
        <v>27662</v>
      </c>
      <c r="P23" s="61"/>
    </row>
    <row r="24" spans="1:16" ht="28.5">
      <c r="A24" s="56" t="s">
        <v>60</v>
      </c>
      <c r="B24" s="53">
        <v>25641</v>
      </c>
      <c r="P24" s="61"/>
    </row>
    <row r="25" spans="1:16" ht="30">
      <c r="A25" s="58" t="s">
        <v>76</v>
      </c>
      <c r="B25" s="53">
        <v>22994</v>
      </c>
      <c r="P25" s="61"/>
    </row>
    <row r="26" spans="1:16" ht="28.5">
      <c r="A26" s="56" t="s">
        <v>67</v>
      </c>
      <c r="B26" s="53">
        <v>22669</v>
      </c>
      <c r="K26" s="48"/>
      <c r="P26" s="61"/>
    </row>
    <row r="27" spans="1:16" ht="28.5">
      <c r="A27" s="56" t="s">
        <v>65</v>
      </c>
      <c r="B27" s="53">
        <v>21724</v>
      </c>
      <c r="P27" s="61"/>
    </row>
    <row r="28" spans="1:16" ht="28.5">
      <c r="A28" s="57" t="s">
        <v>79</v>
      </c>
      <c r="B28" s="53">
        <v>19791</v>
      </c>
      <c r="P28" s="61"/>
    </row>
    <row r="29" spans="1:16" ht="28.5">
      <c r="A29" s="56" t="s">
        <v>66</v>
      </c>
      <c r="B29" s="53">
        <v>18467</v>
      </c>
      <c r="P29" s="61"/>
    </row>
    <row r="30" spans="1:16">
      <c r="P30" s="61"/>
    </row>
    <row r="31" spans="1:16" ht="36.75" customHeight="1">
      <c r="A31" s="397" t="s">
        <v>504</v>
      </c>
      <c r="B31" s="397"/>
      <c r="C31" s="397"/>
      <c r="D31" s="397"/>
      <c r="E31" s="397"/>
      <c r="F31" s="397"/>
      <c r="G31" s="397"/>
      <c r="H31" s="397"/>
      <c r="I31" s="397"/>
      <c r="P31" s="61"/>
    </row>
    <row r="32" spans="1:16">
      <c r="P32" s="61"/>
    </row>
    <row r="33" spans="1:16" ht="37.5">
      <c r="A33" s="54" t="s">
        <v>59</v>
      </c>
      <c r="B33" s="55" t="s">
        <v>33</v>
      </c>
      <c r="P33" s="63"/>
    </row>
    <row r="34" spans="1:16" ht="28.5">
      <c r="A34" s="56" t="s">
        <v>75</v>
      </c>
      <c r="B34" s="33">
        <v>170538</v>
      </c>
      <c r="P34" s="63"/>
    </row>
    <row r="35" spans="1:16" ht="28.5">
      <c r="A35" s="56" t="s">
        <v>73</v>
      </c>
      <c r="B35" s="33">
        <v>149082</v>
      </c>
      <c r="P35" s="61"/>
    </row>
    <row r="36" spans="1:16" ht="28.5">
      <c r="A36" s="57" t="s">
        <v>77</v>
      </c>
      <c r="B36" s="33">
        <f>134140+18038</f>
        <v>152178</v>
      </c>
      <c r="P36" s="61"/>
    </row>
    <row r="37" spans="1:16" ht="28.5">
      <c r="A37" s="56" t="s">
        <v>72</v>
      </c>
      <c r="B37" s="33">
        <v>109635</v>
      </c>
      <c r="P37" s="61"/>
    </row>
    <row r="38" spans="1:16" ht="28.5">
      <c r="A38" s="56" t="s">
        <v>62</v>
      </c>
      <c r="B38" s="33">
        <v>28821</v>
      </c>
      <c r="P38" s="61"/>
    </row>
    <row r="39" spans="1:16" ht="28.5">
      <c r="A39" s="56" t="s">
        <v>71</v>
      </c>
      <c r="B39" s="33">
        <v>53093</v>
      </c>
      <c r="P39" s="62"/>
    </row>
    <row r="40" spans="1:16" ht="30">
      <c r="A40" s="52" t="s">
        <v>87</v>
      </c>
      <c r="B40" s="33">
        <v>38017</v>
      </c>
      <c r="P40" s="61"/>
    </row>
    <row r="41" spans="1:16" ht="28.5">
      <c r="A41" s="56" t="s">
        <v>74</v>
      </c>
      <c r="B41" s="33">
        <v>36380</v>
      </c>
      <c r="P41" s="62"/>
    </row>
    <row r="42" spans="1:16" ht="28.5">
      <c r="A42" s="56" t="s">
        <v>64</v>
      </c>
      <c r="B42" s="33">
        <f>12813+9280</f>
        <v>22093</v>
      </c>
      <c r="P42" s="61"/>
    </row>
    <row r="43" spans="1:16" ht="28.5">
      <c r="A43" s="56" t="s">
        <v>69</v>
      </c>
      <c r="B43" s="33">
        <v>31120</v>
      </c>
      <c r="P43" s="61"/>
    </row>
    <row r="44" spans="1:16" ht="28.5">
      <c r="A44" s="56" t="s">
        <v>61</v>
      </c>
      <c r="B44" s="33">
        <v>9164</v>
      </c>
      <c r="P44" s="61"/>
    </row>
    <row r="45" spans="1:16" ht="28.5">
      <c r="A45" s="57" t="s">
        <v>78</v>
      </c>
      <c r="B45" s="33">
        <v>30166</v>
      </c>
      <c r="P45" s="61"/>
    </row>
    <row r="46" spans="1:16" ht="28.5">
      <c r="A46" s="56" t="s">
        <v>63</v>
      </c>
      <c r="B46" s="33">
        <f>21194+11363</f>
        <v>32557</v>
      </c>
      <c r="P46" s="64"/>
    </row>
    <row r="47" spans="1:16" ht="30">
      <c r="A47" s="52" t="s">
        <v>88</v>
      </c>
      <c r="B47" s="33">
        <v>17388</v>
      </c>
      <c r="P47" s="62"/>
    </row>
    <row r="48" spans="1:16" ht="30">
      <c r="A48" s="52" t="s">
        <v>89</v>
      </c>
      <c r="B48" s="33">
        <v>38019</v>
      </c>
      <c r="P48" s="65"/>
    </row>
    <row r="49" spans="1:16" ht="25.5">
      <c r="A49" s="59" t="s">
        <v>80</v>
      </c>
      <c r="B49" s="33">
        <v>17151</v>
      </c>
      <c r="P49" s="65"/>
    </row>
    <row r="50" spans="1:16" ht="33.75" customHeight="1">
      <c r="A50" s="68" t="s">
        <v>116</v>
      </c>
      <c r="B50" s="33">
        <v>7362</v>
      </c>
      <c r="P50" s="65"/>
    </row>
    <row r="51" spans="1:16" ht="28.5">
      <c r="A51" s="56" t="s">
        <v>68</v>
      </c>
      <c r="B51" s="33">
        <f>10927+11215</f>
        <v>22142</v>
      </c>
      <c r="P51" s="62"/>
    </row>
    <row r="52" spans="1:16" ht="36.75" customHeight="1">
      <c r="A52" s="68" t="s">
        <v>115</v>
      </c>
      <c r="B52" s="33">
        <f>11404+10175</f>
        <v>21579</v>
      </c>
      <c r="P52" s="61"/>
    </row>
    <row r="53" spans="1:16" ht="30">
      <c r="A53" s="52" t="s">
        <v>86</v>
      </c>
      <c r="B53" s="33">
        <v>26855</v>
      </c>
      <c r="P53" s="61"/>
    </row>
    <row r="54" spans="1:16" ht="28.5">
      <c r="A54" s="56" t="s">
        <v>60</v>
      </c>
      <c r="B54" s="33">
        <f>19260+16954</f>
        <v>36214</v>
      </c>
      <c r="P54" s="62"/>
    </row>
    <row r="55" spans="1:16" ht="30">
      <c r="A55" s="58" t="s">
        <v>76</v>
      </c>
      <c r="B55" s="33">
        <f>15667+10801</f>
        <v>26468</v>
      </c>
      <c r="P55" s="61"/>
    </row>
    <row r="56" spans="1:16" ht="28.5">
      <c r="A56" s="56" t="s">
        <v>67</v>
      </c>
      <c r="B56" s="33">
        <v>9954</v>
      </c>
      <c r="P56" s="61"/>
    </row>
    <row r="57" spans="1:16" ht="28.5">
      <c r="A57" s="56" t="s">
        <v>65</v>
      </c>
      <c r="B57" s="33">
        <v>15245</v>
      </c>
      <c r="P57" s="61"/>
    </row>
    <row r="58" spans="1:16" ht="28.5">
      <c r="A58" s="57" t="s">
        <v>79</v>
      </c>
      <c r="B58" s="33">
        <v>17319</v>
      </c>
      <c r="P58" s="61"/>
    </row>
    <row r="59" spans="1:16" ht="25.5">
      <c r="A59" s="60" t="s">
        <v>70</v>
      </c>
      <c r="B59" s="33">
        <v>7200</v>
      </c>
      <c r="P59" s="61"/>
    </row>
    <row r="60" spans="1:16" ht="25.5">
      <c r="A60" s="59" t="s">
        <v>81</v>
      </c>
      <c r="B60" s="33">
        <v>10574</v>
      </c>
      <c r="P60" s="61"/>
    </row>
    <row r="61" spans="1:16">
      <c r="P61" s="62"/>
    </row>
    <row r="62" spans="1:16">
      <c r="P62" s="62"/>
    </row>
    <row r="63" spans="1:16" ht="44.25" customHeight="1">
      <c r="A63" s="48" t="s">
        <v>54</v>
      </c>
      <c r="P63" s="62"/>
    </row>
    <row r="64" spans="1:16">
      <c r="P64" s="62"/>
    </row>
    <row r="65" spans="16:16">
      <c r="P65" s="62"/>
    </row>
    <row r="66" spans="16:16">
      <c r="P66" s="62"/>
    </row>
    <row r="67" spans="16:16">
      <c r="P67" s="62"/>
    </row>
    <row r="68" spans="16:16">
      <c r="P68" s="62"/>
    </row>
    <row r="69" spans="16:16">
      <c r="P69" s="66"/>
    </row>
    <row r="70" spans="16:16">
      <c r="P70" s="62"/>
    </row>
    <row r="71" spans="16:16">
      <c r="P71" s="62"/>
    </row>
    <row r="72" spans="16:16">
      <c r="P72" s="67"/>
    </row>
    <row r="73" spans="16:16">
      <c r="P73" s="61"/>
    </row>
    <row r="74" spans="16:16">
      <c r="P74" s="61"/>
    </row>
    <row r="75" spans="16:16">
      <c r="P75" s="62"/>
    </row>
    <row r="76" spans="16:16">
      <c r="P76" s="62"/>
    </row>
    <row r="77" spans="16:16">
      <c r="P77" s="62"/>
    </row>
    <row r="78" spans="16:16">
      <c r="P78" s="62"/>
    </row>
    <row r="79" spans="16:16">
      <c r="P79" s="62"/>
    </row>
    <row r="80" spans="16:16">
      <c r="P80" s="62"/>
    </row>
    <row r="81" spans="1:16">
      <c r="P81" s="62"/>
    </row>
    <row r="82" spans="1:16">
      <c r="P82" s="62"/>
    </row>
    <row r="83" spans="1:16">
      <c r="P83" s="62"/>
    </row>
    <row r="84" spans="1:16">
      <c r="P84" s="62"/>
    </row>
    <row r="85" spans="1:16">
      <c r="P85" s="62"/>
    </row>
    <row r="86" spans="1:16">
      <c r="P86" s="61"/>
    </row>
    <row r="87" spans="1:16">
      <c r="P87" s="61"/>
    </row>
    <row r="88" spans="1:16">
      <c r="P88" s="61"/>
    </row>
    <row r="89" spans="1:16">
      <c r="P89" s="61"/>
    </row>
    <row r="90" spans="1:16">
      <c r="P90" s="63"/>
    </row>
    <row r="91" spans="1:16">
      <c r="P91" s="51"/>
    </row>
    <row r="93" spans="1:16" s="47" customFormat="1" ht="15.7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</row>
    <row r="94" spans="1:16" s="47" customFormat="1" ht="15" customHeight="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</row>
    <row r="95" spans="1:16" s="47" customFormat="1" ht="15.7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</row>
    <row r="96" spans="1:16" s="47" customFormat="1" ht="15.7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</row>
    <row r="97" spans="1:15" s="47" customFormat="1" ht="15.7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</row>
    <row r="98" spans="1:15" s="47" customFormat="1" ht="15.7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</row>
    <row r="99" spans="1:15" s="47" customFormat="1" ht="15" customHeight="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</row>
    <row r="100" spans="1:15" s="47" customFormat="1" ht="15" customHeight="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</row>
    <row r="101" spans="1:15" s="47" customFormat="1" ht="15" customHeight="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</row>
    <row r="102" spans="1:15" s="47" customFormat="1" ht="15" customHeight="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</row>
    <row r="103" spans="1:15" s="47" customFormat="1" ht="15" customHeight="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</row>
    <row r="104" spans="1:15" s="47" customFormat="1" ht="15.7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</row>
    <row r="105" spans="1:15" s="47" customFormat="1" ht="15.7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</row>
    <row r="106" spans="1:15" s="47" customFormat="1" ht="15.7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</row>
    <row r="107" spans="1:15" s="47" customFormat="1" ht="15.7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</row>
    <row r="108" spans="1:15" s="47" customFormat="1" ht="15" customHeight="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</row>
    <row r="109" spans="1:15" s="47" customFormat="1" ht="15" customHeight="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</row>
    <row r="110" spans="1:15" s="47" customFormat="1" ht="15" customHeight="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</row>
    <row r="111" spans="1:15" s="47" customFormat="1" ht="15" customHeight="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</row>
    <row r="112" spans="1:15" s="47" customFormat="1" ht="15" customHeight="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</row>
    <row r="113" spans="1:15" s="47" customFormat="1" ht="15.7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</row>
    <row r="114" spans="1:15" s="47" customFormat="1" ht="15.7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</row>
    <row r="115" spans="1:15" s="47" customFormat="1" ht="15.7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</row>
    <row r="116" spans="1:15" s="47" customFormat="1">
      <c r="A116" s="50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</row>
    <row r="117" spans="1:15" s="47" customFormat="1"/>
    <row r="118" spans="1:15" s="47" customFormat="1"/>
    <row r="119" spans="1:15" s="47" customFormat="1"/>
    <row r="120" spans="1:15" s="47" customFormat="1"/>
  </sheetData>
  <mergeCells count="4">
    <mergeCell ref="C3:G3"/>
    <mergeCell ref="A1:I1"/>
    <mergeCell ref="A3:B3"/>
    <mergeCell ref="A31:I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5"/>
  <sheetViews>
    <sheetView rightToLeft="1" workbookViewId="0">
      <selection activeCell="A13" sqref="A13:XFD13"/>
    </sheetView>
  </sheetViews>
  <sheetFormatPr defaultRowHeight="15"/>
  <cols>
    <col min="1" max="1" width="32.28515625" customWidth="1"/>
    <col min="2" max="2" width="16.5703125" customWidth="1"/>
    <col min="3" max="3" width="20.140625" customWidth="1"/>
    <col min="4" max="4" width="19.42578125" customWidth="1"/>
    <col min="5" max="5" width="38.85546875" customWidth="1"/>
    <col min="6" max="6" width="23.140625" customWidth="1"/>
    <col min="7" max="7" width="38.28515625" customWidth="1"/>
  </cols>
  <sheetData>
    <row r="1" spans="1:14" s="47" customFormat="1" ht="39" customHeight="1">
      <c r="A1" s="392" t="s">
        <v>96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</row>
    <row r="2" spans="1:14" s="47" customForma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s="2" customFormat="1" ht="15.75">
      <c r="A3" s="398" t="s">
        <v>97</v>
      </c>
      <c r="B3" s="398"/>
      <c r="C3" s="398" t="s">
        <v>98</v>
      </c>
      <c r="D3" s="398"/>
      <c r="E3" s="398"/>
      <c r="F3" s="398"/>
      <c r="G3" s="398"/>
    </row>
    <row r="4" spans="1:14" s="2" customFormat="1" ht="15.75">
      <c r="A4" s="71"/>
      <c r="B4" s="71"/>
      <c r="C4" s="71"/>
      <c r="D4" s="71"/>
      <c r="E4" s="71"/>
      <c r="F4" s="71"/>
      <c r="G4" s="71"/>
    </row>
    <row r="5" spans="1:14" s="32" customFormat="1" ht="69" customHeight="1">
      <c r="A5" s="75" t="s">
        <v>33</v>
      </c>
      <c r="B5" s="35" t="s">
        <v>99</v>
      </c>
      <c r="C5" s="35" t="s">
        <v>100</v>
      </c>
      <c r="D5" s="35" t="s">
        <v>101</v>
      </c>
      <c r="E5" s="35" t="s">
        <v>103</v>
      </c>
      <c r="F5" s="35" t="s">
        <v>102</v>
      </c>
      <c r="G5" s="35" t="s">
        <v>104</v>
      </c>
      <c r="H5" s="35" t="s">
        <v>34</v>
      </c>
    </row>
    <row r="6" spans="1:14" s="32" customFormat="1" ht="18.75" customHeight="1">
      <c r="A6" s="78" t="s">
        <v>108</v>
      </c>
      <c r="B6" s="33">
        <v>2</v>
      </c>
      <c r="C6" s="33">
        <v>21</v>
      </c>
      <c r="D6" s="33">
        <v>5</v>
      </c>
      <c r="E6" s="33">
        <v>16</v>
      </c>
      <c r="F6" s="33">
        <v>23</v>
      </c>
      <c r="G6" s="33">
        <v>16</v>
      </c>
      <c r="H6" s="33">
        <f>SUM(B6:G6)</f>
        <v>83</v>
      </c>
    </row>
    <row r="7" spans="1:14" s="32" customFormat="1" ht="18.75" customHeight="1">
      <c r="A7" s="78" t="s">
        <v>109</v>
      </c>
      <c r="B7" s="33">
        <v>3</v>
      </c>
      <c r="C7" s="33">
        <v>7</v>
      </c>
      <c r="D7" s="33" t="s">
        <v>107</v>
      </c>
      <c r="E7" s="33">
        <v>8</v>
      </c>
      <c r="F7" s="33">
        <v>1</v>
      </c>
      <c r="G7" s="33">
        <v>16</v>
      </c>
      <c r="H7" s="33">
        <f>SUM(B7:G7)</f>
        <v>35</v>
      </c>
    </row>
    <row r="8" spans="1:14" s="32" customFormat="1" ht="18.75" customHeight="1">
      <c r="A8" s="78" t="s">
        <v>110</v>
      </c>
      <c r="B8" s="33">
        <v>4</v>
      </c>
      <c r="C8" s="33">
        <v>6</v>
      </c>
      <c r="D8" s="33">
        <v>1</v>
      </c>
      <c r="E8" s="33">
        <v>2</v>
      </c>
      <c r="F8" s="33">
        <v>1</v>
      </c>
      <c r="G8" s="33">
        <v>3</v>
      </c>
      <c r="H8" s="33">
        <f>SUM(B8:G8)</f>
        <v>17</v>
      </c>
    </row>
    <row r="9" spans="1:14" s="32" customFormat="1" ht="18.75" customHeight="1">
      <c r="A9" s="78" t="s">
        <v>111</v>
      </c>
      <c r="B9" s="33">
        <v>1</v>
      </c>
      <c r="C9" s="33">
        <v>1</v>
      </c>
      <c r="D9" s="33" t="s">
        <v>107</v>
      </c>
      <c r="E9" s="33" t="s">
        <v>107</v>
      </c>
      <c r="F9" s="33" t="s">
        <v>107</v>
      </c>
      <c r="G9" s="33">
        <v>1</v>
      </c>
      <c r="H9" s="33">
        <f>SUM(B9:G9)</f>
        <v>3</v>
      </c>
    </row>
    <row r="10" spans="1:14" s="32" customFormat="1" ht="36.75" customHeight="1">
      <c r="A10" s="35" t="s">
        <v>106</v>
      </c>
      <c r="B10" s="33">
        <v>9</v>
      </c>
      <c r="C10" s="33">
        <v>6</v>
      </c>
      <c r="D10" s="33" t="s">
        <v>107</v>
      </c>
      <c r="E10" s="33">
        <v>3</v>
      </c>
      <c r="F10" s="33">
        <v>2</v>
      </c>
      <c r="G10" s="33">
        <v>5</v>
      </c>
      <c r="H10" s="33">
        <f>SUM(B10:G10)</f>
        <v>25</v>
      </c>
    </row>
    <row r="11" spans="1:14" s="32" customFormat="1" ht="29.25" customHeight="1">
      <c r="A11" s="35" t="s">
        <v>34</v>
      </c>
      <c r="B11" s="72">
        <f>SUM(B6:B10)</f>
        <v>19</v>
      </c>
      <c r="C11" s="72">
        <f t="shared" ref="C11:H11" si="0">SUM(C6:C10)</f>
        <v>41</v>
      </c>
      <c r="D11" s="72">
        <f t="shared" si="0"/>
        <v>6</v>
      </c>
      <c r="E11" s="72">
        <f t="shared" si="0"/>
        <v>29</v>
      </c>
      <c r="F11" s="72">
        <f t="shared" si="0"/>
        <v>27</v>
      </c>
      <c r="G11" s="72">
        <f t="shared" si="0"/>
        <v>41</v>
      </c>
      <c r="H11" s="72">
        <f t="shared" si="0"/>
        <v>163</v>
      </c>
    </row>
    <row r="13" spans="1:14" ht="52.5" customHeight="1">
      <c r="A13" s="392" t="s">
        <v>105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</row>
    <row r="14" spans="1:14" s="47" customFormat="1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s="2" customFormat="1" ht="15.75">
      <c r="A15" s="398" t="s">
        <v>97</v>
      </c>
      <c r="B15" s="398"/>
      <c r="C15" s="398" t="s">
        <v>98</v>
      </c>
      <c r="D15" s="398"/>
      <c r="E15" s="398"/>
      <c r="F15" s="398"/>
      <c r="G15" s="398"/>
    </row>
    <row r="16" spans="1:14" s="2" customFormat="1" ht="15.75">
      <c r="A16" s="71"/>
      <c r="B16" s="71"/>
      <c r="C16" s="71"/>
      <c r="D16" s="71"/>
      <c r="E16" s="71"/>
      <c r="F16" s="71"/>
      <c r="G16" s="71"/>
    </row>
    <row r="17" spans="1:16" ht="45">
      <c r="A17" s="75" t="s">
        <v>33</v>
      </c>
      <c r="B17" s="35" t="s">
        <v>99</v>
      </c>
      <c r="C17" s="35" t="s">
        <v>100</v>
      </c>
      <c r="D17" s="35" t="s">
        <v>101</v>
      </c>
      <c r="E17" s="35" t="s">
        <v>103</v>
      </c>
      <c r="F17" s="35" t="s">
        <v>102</v>
      </c>
      <c r="G17" s="35" t="s">
        <v>104</v>
      </c>
      <c r="H17" s="35" t="s">
        <v>34</v>
      </c>
    </row>
    <row r="18" spans="1:16">
      <c r="A18" s="78" t="s">
        <v>108</v>
      </c>
      <c r="B18" s="33">
        <v>6</v>
      </c>
      <c r="C18" s="33">
        <v>56</v>
      </c>
      <c r="D18" s="33">
        <v>11</v>
      </c>
      <c r="E18" s="33">
        <v>41</v>
      </c>
      <c r="F18" s="33">
        <v>52</v>
      </c>
      <c r="G18" s="33">
        <v>45</v>
      </c>
      <c r="H18" s="33">
        <v>211</v>
      </c>
    </row>
    <row r="19" spans="1:16">
      <c r="A19" s="78" t="s">
        <v>109</v>
      </c>
      <c r="B19" s="33">
        <v>9</v>
      </c>
      <c r="C19" s="33">
        <v>17</v>
      </c>
      <c r="D19" s="33">
        <v>2</v>
      </c>
      <c r="E19" s="33">
        <v>10</v>
      </c>
      <c r="F19" s="33">
        <v>2</v>
      </c>
      <c r="G19" s="33">
        <v>26</v>
      </c>
      <c r="H19" s="33">
        <v>66</v>
      </c>
    </row>
    <row r="20" spans="1:16">
      <c r="A20" s="78" t="s">
        <v>110</v>
      </c>
      <c r="B20" s="33">
        <v>5</v>
      </c>
      <c r="C20" s="33">
        <v>7</v>
      </c>
      <c r="D20" s="33">
        <v>0</v>
      </c>
      <c r="E20" s="33">
        <v>1</v>
      </c>
      <c r="F20" s="33">
        <v>2</v>
      </c>
      <c r="G20" s="33">
        <v>8</v>
      </c>
      <c r="H20" s="33">
        <v>23</v>
      </c>
    </row>
    <row r="21" spans="1:16">
      <c r="A21" s="78" t="s">
        <v>111</v>
      </c>
      <c r="B21" s="33">
        <v>2</v>
      </c>
      <c r="C21" s="33">
        <v>3</v>
      </c>
      <c r="D21" s="33">
        <v>0</v>
      </c>
      <c r="E21" s="33">
        <v>2</v>
      </c>
      <c r="F21" s="33">
        <v>1</v>
      </c>
      <c r="G21" s="33">
        <v>3</v>
      </c>
      <c r="H21" s="33">
        <v>11</v>
      </c>
    </row>
    <row r="22" spans="1:16" ht="30">
      <c r="A22" s="35" t="s">
        <v>106</v>
      </c>
      <c r="B22" s="33">
        <v>16</v>
      </c>
      <c r="C22" s="33">
        <v>3</v>
      </c>
      <c r="D22" s="33">
        <v>0</v>
      </c>
      <c r="E22" s="33">
        <v>4</v>
      </c>
      <c r="F22" s="33">
        <v>1</v>
      </c>
      <c r="G22" s="33">
        <v>1</v>
      </c>
      <c r="H22" s="33">
        <v>25</v>
      </c>
    </row>
    <row r="23" spans="1:16" ht="30">
      <c r="A23" s="35" t="s">
        <v>34</v>
      </c>
      <c r="B23" s="33">
        <v>38</v>
      </c>
      <c r="C23" s="33">
        <v>86</v>
      </c>
      <c r="D23" s="33">
        <v>13</v>
      </c>
      <c r="E23" s="33">
        <v>58</v>
      </c>
      <c r="F23" s="33">
        <v>58</v>
      </c>
      <c r="G23" s="33">
        <v>83</v>
      </c>
      <c r="H23" s="33">
        <v>336</v>
      </c>
    </row>
    <row r="25" spans="1:16" ht="44.25" customHeight="1">
      <c r="A25" s="399" t="s">
        <v>54</v>
      </c>
      <c r="B25" s="399"/>
      <c r="C25" s="399"/>
      <c r="P25" s="62"/>
    </row>
  </sheetData>
  <mergeCells count="7">
    <mergeCell ref="A25:C25"/>
    <mergeCell ref="A15:B15"/>
    <mergeCell ref="C15:G15"/>
    <mergeCell ref="A1:N1"/>
    <mergeCell ref="A3:B3"/>
    <mergeCell ref="C3:G3"/>
    <mergeCell ref="A13:N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"/>
  <sheetViews>
    <sheetView rightToLeft="1" workbookViewId="0">
      <selection activeCell="A18" sqref="A18:XFD18"/>
    </sheetView>
  </sheetViews>
  <sheetFormatPr defaultColWidth="9.140625" defaultRowHeight="15.75"/>
  <cols>
    <col min="1" max="1" width="57.7109375" style="9" customWidth="1"/>
    <col min="2" max="2" width="22.28515625" style="9" customWidth="1"/>
    <col min="3" max="3" width="25.28515625" style="9" customWidth="1"/>
    <col min="4" max="4" width="25.5703125" style="9" customWidth="1"/>
    <col min="5" max="5" width="23.5703125" style="9" customWidth="1"/>
    <col min="6" max="6" width="12.85546875" style="9" customWidth="1"/>
    <col min="7" max="7" width="13.85546875" style="9" customWidth="1"/>
    <col min="8" max="8" width="17.5703125" style="9" customWidth="1"/>
    <col min="9" max="9" width="9.140625" style="9"/>
    <col min="10" max="10" width="11.5703125" style="9" customWidth="1"/>
    <col min="11" max="11" width="19.28515625" style="9" customWidth="1"/>
    <col min="12" max="16384" width="9.140625" style="9"/>
  </cols>
  <sheetData>
    <row r="1" spans="1:12" s="21" customFormat="1" ht="54" customHeight="1">
      <c r="A1" s="394" t="s">
        <v>112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</row>
    <row r="2" spans="1:12" s="21" customForma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" customFormat="1">
      <c r="A3" s="398" t="s">
        <v>46</v>
      </c>
      <c r="B3" s="398"/>
      <c r="C3" s="398" t="s">
        <v>47</v>
      </c>
      <c r="D3" s="398"/>
      <c r="E3" s="398"/>
      <c r="F3" s="398"/>
      <c r="G3" s="398"/>
    </row>
    <row r="4" spans="1:12" s="21" customFormat="1" ht="16.5" thickBo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spans="1:12" s="21" customFormat="1" ht="87" customHeight="1">
      <c r="A5" s="80" t="s">
        <v>113</v>
      </c>
      <c r="B5" s="82" t="s">
        <v>75</v>
      </c>
      <c r="C5" s="82" t="s">
        <v>73</v>
      </c>
      <c r="D5" s="28" t="s">
        <v>77</v>
      </c>
      <c r="E5" s="82" t="s">
        <v>72</v>
      </c>
      <c r="F5" s="82" t="s">
        <v>62</v>
      </c>
      <c r="G5" s="82" t="s">
        <v>71</v>
      </c>
      <c r="H5" s="77" t="s">
        <v>87</v>
      </c>
      <c r="I5" s="82" t="s">
        <v>74</v>
      </c>
      <c r="J5" s="82" t="s">
        <v>64</v>
      </c>
      <c r="K5" s="82" t="s">
        <v>69</v>
      </c>
      <c r="L5" s="77" t="s">
        <v>34</v>
      </c>
    </row>
    <row r="6" spans="1:12" s="21" customFormat="1" ht="39" customHeight="1">
      <c r="A6" s="30" t="s">
        <v>13</v>
      </c>
      <c r="B6" s="79">
        <v>65944</v>
      </c>
      <c r="C6" s="79">
        <v>32497</v>
      </c>
      <c r="D6" s="79">
        <v>51579</v>
      </c>
      <c r="E6" s="79">
        <v>13566</v>
      </c>
      <c r="F6" s="79">
        <v>1654</v>
      </c>
      <c r="G6" s="79">
        <v>5973</v>
      </c>
      <c r="H6" s="79">
        <v>11631</v>
      </c>
      <c r="I6" s="79">
        <v>12273</v>
      </c>
      <c r="J6" s="79">
        <v>5405</v>
      </c>
      <c r="K6" s="79">
        <v>64</v>
      </c>
      <c r="L6" s="79">
        <f>SUM(B6:K6)</f>
        <v>200586</v>
      </c>
    </row>
    <row r="7" spans="1:12" s="21" customFormat="1" ht="39" customHeight="1">
      <c r="A7" s="30" t="s">
        <v>2</v>
      </c>
      <c r="B7" s="79">
        <v>45790</v>
      </c>
      <c r="C7" s="79">
        <v>15013</v>
      </c>
      <c r="D7" s="79">
        <v>34751</v>
      </c>
      <c r="E7" s="79">
        <v>25700</v>
      </c>
      <c r="F7" s="79">
        <v>6624</v>
      </c>
      <c r="G7" s="79">
        <v>8471</v>
      </c>
      <c r="H7" s="79">
        <v>12524</v>
      </c>
      <c r="I7" s="79">
        <v>10262</v>
      </c>
      <c r="J7" s="79">
        <v>4090</v>
      </c>
      <c r="K7" s="79" t="s">
        <v>107</v>
      </c>
      <c r="L7" s="79">
        <f t="shared" ref="L7:L15" si="0">SUM(B7:K7)</f>
        <v>163225</v>
      </c>
    </row>
    <row r="8" spans="1:12" s="21" customFormat="1" ht="39" customHeight="1">
      <c r="A8" s="30" t="s">
        <v>4</v>
      </c>
      <c r="B8" s="79">
        <v>23004</v>
      </c>
      <c r="C8" s="79">
        <v>25627</v>
      </c>
      <c r="D8" s="79">
        <v>26301</v>
      </c>
      <c r="E8" s="79">
        <v>11727</v>
      </c>
      <c r="F8" s="79">
        <v>11482</v>
      </c>
      <c r="G8" s="79">
        <v>14556</v>
      </c>
      <c r="H8" s="79">
        <v>4169</v>
      </c>
      <c r="I8" s="79">
        <v>3279</v>
      </c>
      <c r="J8" s="79">
        <v>19391</v>
      </c>
      <c r="K8" s="79" t="s">
        <v>107</v>
      </c>
      <c r="L8" s="79">
        <f t="shared" si="0"/>
        <v>139536</v>
      </c>
    </row>
    <row r="9" spans="1:12" s="21" customFormat="1" ht="39" customHeight="1">
      <c r="A9" s="30" t="s">
        <v>12</v>
      </c>
      <c r="B9" s="79">
        <v>9160</v>
      </c>
      <c r="C9" s="79">
        <v>13897</v>
      </c>
      <c r="D9" s="79">
        <v>2336</v>
      </c>
      <c r="E9" s="79">
        <v>4236</v>
      </c>
      <c r="F9" s="79">
        <v>28153</v>
      </c>
      <c r="G9" s="79">
        <v>1850</v>
      </c>
      <c r="H9" s="79">
        <v>4269</v>
      </c>
      <c r="I9" s="79">
        <v>649</v>
      </c>
      <c r="J9" s="79">
        <v>2426</v>
      </c>
      <c r="K9" s="79">
        <v>33576</v>
      </c>
      <c r="L9" s="79">
        <f t="shared" si="0"/>
        <v>100552</v>
      </c>
    </row>
    <row r="10" spans="1:12" s="21" customFormat="1" ht="63">
      <c r="A10" s="30" t="s">
        <v>11</v>
      </c>
      <c r="B10" s="79">
        <v>10817</v>
      </c>
      <c r="C10" s="79">
        <v>48091</v>
      </c>
      <c r="D10" s="79">
        <v>65</v>
      </c>
      <c r="E10" s="79" t="s">
        <v>107</v>
      </c>
      <c r="F10" s="79">
        <v>62</v>
      </c>
      <c r="G10" s="79">
        <v>2353</v>
      </c>
      <c r="H10" s="79">
        <v>1413</v>
      </c>
      <c r="I10" s="79">
        <v>7</v>
      </c>
      <c r="J10" s="79">
        <v>1771</v>
      </c>
      <c r="K10" s="79" t="s">
        <v>107</v>
      </c>
      <c r="L10" s="79">
        <f t="shared" si="0"/>
        <v>64579</v>
      </c>
    </row>
    <row r="11" spans="1:12" s="21" customFormat="1" ht="39" customHeight="1">
      <c r="A11" s="30" t="s">
        <v>7</v>
      </c>
      <c r="B11" s="79">
        <v>15657</v>
      </c>
      <c r="C11" s="79">
        <v>4775</v>
      </c>
      <c r="D11" s="79">
        <v>4429</v>
      </c>
      <c r="E11" s="79">
        <v>10154</v>
      </c>
      <c r="F11" s="79">
        <v>738</v>
      </c>
      <c r="G11" s="79">
        <v>5560</v>
      </c>
      <c r="H11" s="79">
        <v>1087</v>
      </c>
      <c r="I11" s="79">
        <v>5915</v>
      </c>
      <c r="J11" s="79">
        <v>1181</v>
      </c>
      <c r="K11" s="79" t="s">
        <v>107</v>
      </c>
      <c r="L11" s="79">
        <f t="shared" si="0"/>
        <v>49496</v>
      </c>
    </row>
    <row r="12" spans="1:12" s="21" customFormat="1" ht="39" customHeight="1">
      <c r="A12" s="30" t="s">
        <v>17</v>
      </c>
      <c r="B12" s="79">
        <v>21006</v>
      </c>
      <c r="C12" s="79">
        <v>2856</v>
      </c>
      <c r="D12" s="79">
        <v>2487</v>
      </c>
      <c r="E12" s="79">
        <v>2030</v>
      </c>
      <c r="F12" s="79">
        <v>424</v>
      </c>
      <c r="G12" s="79">
        <v>2388</v>
      </c>
      <c r="H12" s="79">
        <v>2841</v>
      </c>
      <c r="I12" s="79">
        <v>1264</v>
      </c>
      <c r="J12" s="79">
        <v>787</v>
      </c>
      <c r="K12" s="79" t="s">
        <v>107</v>
      </c>
      <c r="L12" s="79">
        <f t="shared" si="0"/>
        <v>36083</v>
      </c>
    </row>
    <row r="13" spans="1:12" s="21" customFormat="1" ht="39" customHeight="1">
      <c r="A13" s="30" t="s">
        <v>8</v>
      </c>
      <c r="B13" s="79">
        <v>8637</v>
      </c>
      <c r="C13" s="79">
        <v>10405</v>
      </c>
      <c r="D13" s="79">
        <v>1255</v>
      </c>
      <c r="E13" s="79">
        <v>3339</v>
      </c>
      <c r="F13" s="79">
        <v>848</v>
      </c>
      <c r="G13" s="79">
        <v>2160</v>
      </c>
      <c r="H13" s="79">
        <v>3219</v>
      </c>
      <c r="I13" s="79">
        <v>2464</v>
      </c>
      <c r="J13" s="79">
        <v>2338</v>
      </c>
      <c r="K13" s="79" t="s">
        <v>107</v>
      </c>
      <c r="L13" s="79">
        <f t="shared" si="0"/>
        <v>34665</v>
      </c>
    </row>
    <row r="14" spans="1:12" s="21" customFormat="1" ht="39" customHeight="1">
      <c r="A14" s="30" t="s">
        <v>114</v>
      </c>
      <c r="B14" s="79">
        <v>7250</v>
      </c>
      <c r="C14" s="79">
        <v>2551</v>
      </c>
      <c r="D14" s="79">
        <v>4619</v>
      </c>
      <c r="E14" s="79">
        <v>10025</v>
      </c>
      <c r="F14" s="79">
        <v>665</v>
      </c>
      <c r="G14" s="79">
        <v>3263</v>
      </c>
      <c r="H14" s="79">
        <v>1226</v>
      </c>
      <c r="I14" s="79">
        <v>3687</v>
      </c>
      <c r="J14" s="79">
        <v>433</v>
      </c>
      <c r="K14" s="79">
        <v>7</v>
      </c>
      <c r="L14" s="79">
        <f t="shared" si="0"/>
        <v>33726</v>
      </c>
    </row>
    <row r="15" spans="1:12" s="21" customFormat="1" ht="39" customHeight="1">
      <c r="A15" s="30" t="s">
        <v>0</v>
      </c>
      <c r="B15" s="79">
        <v>2732</v>
      </c>
      <c r="C15" s="79">
        <v>1742</v>
      </c>
      <c r="D15" s="79">
        <v>712</v>
      </c>
      <c r="E15" s="79">
        <v>3314</v>
      </c>
      <c r="F15" s="79">
        <v>740</v>
      </c>
      <c r="G15" s="79">
        <v>2106</v>
      </c>
      <c r="H15" s="79">
        <v>1240</v>
      </c>
      <c r="I15" s="79">
        <v>480</v>
      </c>
      <c r="J15" s="79">
        <v>209</v>
      </c>
      <c r="K15" s="79" t="s">
        <v>107</v>
      </c>
      <c r="L15" s="79">
        <f t="shared" si="0"/>
        <v>13275</v>
      </c>
    </row>
    <row r="16" spans="1:12" s="21" customFormat="1" ht="39" customHeight="1">
      <c r="A16" s="77" t="s">
        <v>34</v>
      </c>
      <c r="B16" s="79">
        <f>SUM(B6:B15)</f>
        <v>209997</v>
      </c>
      <c r="C16" s="79">
        <f t="shared" ref="C16:L16" si="1">SUM(C6:C15)</f>
        <v>157454</v>
      </c>
      <c r="D16" s="79">
        <f t="shared" si="1"/>
        <v>128534</v>
      </c>
      <c r="E16" s="79">
        <f t="shared" si="1"/>
        <v>84091</v>
      </c>
      <c r="F16" s="79">
        <f t="shared" si="1"/>
        <v>51390</v>
      </c>
      <c r="G16" s="79">
        <f t="shared" si="1"/>
        <v>48680</v>
      </c>
      <c r="H16" s="79">
        <f t="shared" si="1"/>
        <v>43619</v>
      </c>
      <c r="I16" s="79">
        <f t="shared" si="1"/>
        <v>40280</v>
      </c>
      <c r="J16" s="79">
        <f t="shared" si="1"/>
        <v>38031</v>
      </c>
      <c r="K16" s="79">
        <f t="shared" si="1"/>
        <v>33647</v>
      </c>
      <c r="L16" s="79">
        <f t="shared" si="1"/>
        <v>835723</v>
      </c>
    </row>
    <row r="18" spans="1:13" s="21" customFormat="1" ht="54" customHeight="1">
      <c r="A18" s="394" t="s">
        <v>192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395"/>
    </row>
    <row r="19" spans="1:13" s="21" customForma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1:13" s="2" customFormat="1">
      <c r="A20" s="398" t="s">
        <v>46</v>
      </c>
      <c r="B20" s="398"/>
      <c r="C20" s="398" t="s">
        <v>47</v>
      </c>
      <c r="D20" s="398"/>
      <c r="E20" s="398"/>
      <c r="F20" s="398"/>
      <c r="G20" s="398"/>
    </row>
    <row r="21" spans="1:13" s="21" customFormat="1" ht="16.5" thickBot="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3" s="21" customFormat="1" ht="47.25">
      <c r="A22" s="80" t="s">
        <v>113</v>
      </c>
      <c r="B22" s="82" t="s">
        <v>75</v>
      </c>
      <c r="C22" s="82" t="s">
        <v>73</v>
      </c>
      <c r="D22" s="28" t="s">
        <v>77</v>
      </c>
      <c r="E22" s="82" t="s">
        <v>72</v>
      </c>
      <c r="F22" s="82" t="s">
        <v>62</v>
      </c>
      <c r="G22" s="82" t="s">
        <v>71</v>
      </c>
      <c r="H22" s="83" t="s">
        <v>63</v>
      </c>
      <c r="I22" s="77" t="s">
        <v>87</v>
      </c>
      <c r="J22" s="82" t="s">
        <v>74</v>
      </c>
      <c r="K22" s="83" t="s">
        <v>60</v>
      </c>
      <c r="L22" s="35" t="s">
        <v>89</v>
      </c>
      <c r="M22" s="77" t="s">
        <v>34</v>
      </c>
    </row>
    <row r="23" spans="1:13" s="21" customFormat="1" ht="38.25" customHeight="1">
      <c r="A23" s="30" t="s">
        <v>4</v>
      </c>
      <c r="B23" s="79">
        <f>12365+14169</f>
        <v>26534</v>
      </c>
      <c r="C23" s="79">
        <f>10657+12221</f>
        <v>22878</v>
      </c>
      <c r="D23" s="79">
        <f>14486+12640</f>
        <v>27126</v>
      </c>
      <c r="E23" s="79">
        <f>5979+4579</f>
        <v>10558</v>
      </c>
      <c r="F23" s="79">
        <f>6874+16615</f>
        <v>23489</v>
      </c>
      <c r="G23" s="79">
        <f>7323+7113</f>
        <v>14436</v>
      </c>
      <c r="H23" s="13">
        <v>583</v>
      </c>
      <c r="I23" s="79">
        <f>1266+1426</f>
        <v>2692</v>
      </c>
      <c r="J23" s="79">
        <f>1553+1643</f>
        <v>3196</v>
      </c>
      <c r="K23" s="79">
        <f>13405+9657</f>
        <v>23062</v>
      </c>
      <c r="L23" s="79">
        <v>37793</v>
      </c>
      <c r="M23" s="79">
        <f t="shared" ref="M23:M32" si="2">SUM(B23:J23)</f>
        <v>131492</v>
      </c>
    </row>
    <row r="24" spans="1:13" s="21" customFormat="1" ht="38.25" customHeight="1">
      <c r="A24" s="30" t="s">
        <v>2</v>
      </c>
      <c r="B24" s="79">
        <f>15935+16582</f>
        <v>32517</v>
      </c>
      <c r="C24" s="79">
        <f>4866+6927</f>
        <v>11793</v>
      </c>
      <c r="D24" s="79">
        <f>14580+12783</f>
        <v>27363</v>
      </c>
      <c r="E24" s="79">
        <f>28417+12783</f>
        <v>41200</v>
      </c>
      <c r="F24" s="79">
        <f>1740+1432</f>
        <v>3172</v>
      </c>
      <c r="G24" s="79">
        <f>3896+3740</f>
        <v>7636</v>
      </c>
      <c r="H24" s="13">
        <v>6729</v>
      </c>
      <c r="I24" s="79">
        <f>5199+5184</f>
        <v>10383</v>
      </c>
      <c r="J24" s="79">
        <f>2027+1103</f>
        <v>3130</v>
      </c>
      <c r="K24" s="79">
        <f>234+161</f>
        <v>395</v>
      </c>
      <c r="L24" s="79" t="s">
        <v>107</v>
      </c>
      <c r="M24" s="79">
        <f t="shared" si="2"/>
        <v>143923</v>
      </c>
    </row>
    <row r="25" spans="1:13" s="21" customFormat="1" ht="38.25" customHeight="1">
      <c r="A25" s="30" t="s">
        <v>13</v>
      </c>
      <c r="B25" s="79">
        <f>21044+23688</f>
        <v>44732</v>
      </c>
      <c r="C25" s="79">
        <f>9652+8750</f>
        <v>18402</v>
      </c>
      <c r="D25" s="79">
        <f>36087+17263</f>
        <v>53350</v>
      </c>
      <c r="E25" s="79">
        <f>6466+7256</f>
        <v>13722</v>
      </c>
      <c r="F25" s="79">
        <f>228+473</f>
        <v>701</v>
      </c>
      <c r="G25" s="79">
        <f>4671+3580</f>
        <v>8251</v>
      </c>
      <c r="H25" s="13">
        <v>1748</v>
      </c>
      <c r="I25" s="79">
        <f>5673+5218</f>
        <v>10891</v>
      </c>
      <c r="J25" s="79">
        <f>5050+6243</f>
        <v>11293</v>
      </c>
      <c r="K25" s="79">
        <f>490+459</f>
        <v>949</v>
      </c>
      <c r="L25" s="79">
        <v>226</v>
      </c>
      <c r="M25" s="79">
        <f t="shared" si="2"/>
        <v>163090</v>
      </c>
    </row>
    <row r="26" spans="1:13" s="21" customFormat="1" ht="65.25" customHeight="1">
      <c r="A26" s="30" t="s">
        <v>11</v>
      </c>
      <c r="B26" s="79">
        <f>4464+5469</f>
        <v>9933</v>
      </c>
      <c r="C26" s="79">
        <f>22154+26965</f>
        <v>49119</v>
      </c>
      <c r="D26" s="79" t="s">
        <v>107</v>
      </c>
      <c r="E26" s="79" t="s">
        <v>107</v>
      </c>
      <c r="F26" s="79">
        <f>281+2</f>
        <v>283</v>
      </c>
      <c r="G26" s="79">
        <f>1455+1263</f>
        <v>2718</v>
      </c>
      <c r="H26" s="13">
        <v>7344</v>
      </c>
      <c r="I26" s="79">
        <f>10</f>
        <v>10</v>
      </c>
      <c r="J26" s="79">
        <v>62</v>
      </c>
      <c r="K26" s="79">
        <f>212+735</f>
        <v>947</v>
      </c>
      <c r="L26" s="79" t="s">
        <v>107</v>
      </c>
      <c r="M26" s="79">
        <f t="shared" si="2"/>
        <v>69469</v>
      </c>
    </row>
    <row r="27" spans="1:13" s="21" customFormat="1" ht="38.25" customHeight="1">
      <c r="A27" s="30" t="s">
        <v>12</v>
      </c>
      <c r="B27" s="79">
        <f>3973+2342</f>
        <v>6315</v>
      </c>
      <c r="C27" s="79">
        <f>7310+11254</f>
        <v>18564</v>
      </c>
      <c r="D27" s="79">
        <f>2022+2109</f>
        <v>4131</v>
      </c>
      <c r="E27" s="79">
        <f>1920+616</f>
        <v>2536</v>
      </c>
      <c r="F27" s="79">
        <f>6635+8242</f>
        <v>14877</v>
      </c>
      <c r="G27" s="79">
        <f>3353+1209</f>
        <v>4562</v>
      </c>
      <c r="H27" s="13">
        <v>45</v>
      </c>
      <c r="I27" s="79">
        <f>1893+1098</f>
        <v>2991</v>
      </c>
      <c r="J27" s="79">
        <f>328+436</f>
        <v>764</v>
      </c>
      <c r="K27" s="79">
        <f>3354+4067</f>
        <v>7421</v>
      </c>
      <c r="L27" s="79" t="s">
        <v>107</v>
      </c>
      <c r="M27" s="79">
        <f t="shared" si="2"/>
        <v>54785</v>
      </c>
    </row>
    <row r="28" spans="1:13" s="21" customFormat="1" ht="38.25" customHeight="1">
      <c r="A28" s="30" t="s">
        <v>114</v>
      </c>
      <c r="B28" s="79">
        <f>2916+3541</f>
        <v>6457</v>
      </c>
      <c r="C28" s="79">
        <f>1328+1224</f>
        <v>2552</v>
      </c>
      <c r="D28" s="79">
        <f>3646+1953</f>
        <v>5599</v>
      </c>
      <c r="E28" s="79">
        <f>7657+8143</f>
        <v>15800</v>
      </c>
      <c r="F28" s="79">
        <f>270+190</f>
        <v>460</v>
      </c>
      <c r="G28" s="79">
        <f>1376+1345</f>
        <v>2721</v>
      </c>
      <c r="H28" s="13">
        <v>403</v>
      </c>
      <c r="I28" s="79">
        <f>659+398</f>
        <v>1057</v>
      </c>
      <c r="J28" s="79">
        <f>2825+2645</f>
        <v>5470</v>
      </c>
      <c r="K28" s="79">
        <f>470+356</f>
        <v>826</v>
      </c>
      <c r="L28" s="79" t="s">
        <v>107</v>
      </c>
      <c r="M28" s="79">
        <f t="shared" si="2"/>
        <v>40519</v>
      </c>
    </row>
    <row r="29" spans="1:13" s="21" customFormat="1" ht="38.25" customHeight="1">
      <c r="A29" s="30" t="s">
        <v>7</v>
      </c>
      <c r="B29" s="79">
        <f>6163+4526</f>
        <v>10689</v>
      </c>
      <c r="C29" s="79">
        <f>2561+2727</f>
        <v>5288</v>
      </c>
      <c r="D29" s="79">
        <f>4107+2871</f>
        <v>6978</v>
      </c>
      <c r="E29" s="79">
        <f>3024+2908</f>
        <v>5932</v>
      </c>
      <c r="F29" s="79">
        <f>240+127</f>
        <v>367</v>
      </c>
      <c r="G29" s="79">
        <f>1842+1815</f>
        <v>3657</v>
      </c>
      <c r="H29" s="13">
        <v>40</v>
      </c>
      <c r="I29" s="79">
        <f>337+861</f>
        <v>1198</v>
      </c>
      <c r="J29" s="79">
        <f>2657+2033</f>
        <v>4690</v>
      </c>
      <c r="K29" s="79">
        <f>115+166</f>
        <v>281</v>
      </c>
      <c r="L29" s="79" t="s">
        <v>107</v>
      </c>
      <c r="M29" s="79">
        <f t="shared" si="2"/>
        <v>38839</v>
      </c>
    </row>
    <row r="30" spans="1:13" s="21" customFormat="1" ht="38.25" customHeight="1">
      <c r="A30" s="30" t="s">
        <v>17</v>
      </c>
      <c r="B30" s="79">
        <f>5956+6871</f>
        <v>12827</v>
      </c>
      <c r="C30" s="79">
        <f>1003+1977</f>
        <v>2980</v>
      </c>
      <c r="D30" s="79">
        <f>2374+302</f>
        <v>2676</v>
      </c>
      <c r="E30" s="79">
        <f>927+1735</f>
        <v>2662</v>
      </c>
      <c r="F30" s="79">
        <f>12+24</f>
        <v>36</v>
      </c>
      <c r="G30" s="79">
        <f>1151+1414</f>
        <v>2565</v>
      </c>
      <c r="H30" s="13">
        <v>187</v>
      </c>
      <c r="I30" s="79">
        <f>1193+983</f>
        <v>2176</v>
      </c>
      <c r="J30" s="79">
        <f>1128+1053</f>
        <v>2181</v>
      </c>
      <c r="K30" s="79">
        <f>112+107</f>
        <v>219</v>
      </c>
      <c r="L30" s="79" t="s">
        <v>107</v>
      </c>
      <c r="M30" s="79">
        <f t="shared" si="2"/>
        <v>28290</v>
      </c>
    </row>
    <row r="31" spans="1:13" s="21" customFormat="1" ht="38.25" customHeight="1">
      <c r="A31" s="30" t="s">
        <v>8</v>
      </c>
      <c r="B31" s="79">
        <f>4705+3229</f>
        <v>7934</v>
      </c>
      <c r="C31" s="79">
        <f>4133+3903</f>
        <v>8036</v>
      </c>
      <c r="D31" s="79">
        <f>260+1977</f>
        <v>2237</v>
      </c>
      <c r="E31" s="79">
        <f>912+1391</f>
        <v>2303</v>
      </c>
      <c r="F31" s="79">
        <f>517+383</f>
        <v>900</v>
      </c>
      <c r="G31" s="79">
        <f>976+847</f>
        <v>1823</v>
      </c>
      <c r="H31" s="13">
        <v>847</v>
      </c>
      <c r="I31" s="79">
        <f>981+1291</f>
        <v>2272</v>
      </c>
      <c r="J31" s="79">
        <f>1616+1586</f>
        <v>3202</v>
      </c>
      <c r="K31" s="79">
        <f>540+893</f>
        <v>1433</v>
      </c>
      <c r="L31" s="79" t="s">
        <v>107</v>
      </c>
      <c r="M31" s="79">
        <f t="shared" si="2"/>
        <v>29554</v>
      </c>
    </row>
    <row r="32" spans="1:13" s="21" customFormat="1" ht="38.25" customHeight="1">
      <c r="A32" s="30" t="s">
        <v>0</v>
      </c>
      <c r="B32" s="79">
        <f>956+1863</f>
        <v>2819</v>
      </c>
      <c r="C32" s="79">
        <f>517+1094</f>
        <v>1611</v>
      </c>
      <c r="D32" s="79">
        <f>238+243</f>
        <v>481</v>
      </c>
      <c r="E32" s="79">
        <f>1237+1119</f>
        <v>2356</v>
      </c>
      <c r="F32" s="79">
        <f>587+895</f>
        <v>1482</v>
      </c>
      <c r="G32" s="79">
        <f>762+1081</f>
        <v>1843</v>
      </c>
      <c r="H32" s="13">
        <v>910</v>
      </c>
      <c r="I32" s="79">
        <f>431+677</f>
        <v>1108</v>
      </c>
      <c r="J32" s="79">
        <f>49+199</f>
        <v>248</v>
      </c>
      <c r="K32" s="79">
        <f>2+0</f>
        <v>2</v>
      </c>
      <c r="L32" s="79" t="s">
        <v>107</v>
      </c>
      <c r="M32" s="79">
        <f t="shared" si="2"/>
        <v>12858</v>
      </c>
    </row>
    <row r="33" spans="1:13" s="21" customFormat="1" ht="31.5">
      <c r="A33" s="77" t="s">
        <v>34</v>
      </c>
      <c r="B33" s="79">
        <f t="shared" ref="B33:M33" si="3">SUM(B23:B32)</f>
        <v>160757</v>
      </c>
      <c r="C33" s="79">
        <f t="shared" si="3"/>
        <v>141223</v>
      </c>
      <c r="D33" s="79">
        <f t="shared" si="3"/>
        <v>129941</v>
      </c>
      <c r="E33" s="79">
        <f t="shared" si="3"/>
        <v>97069</v>
      </c>
      <c r="F33" s="79">
        <f t="shared" si="3"/>
        <v>45767</v>
      </c>
      <c r="G33" s="79">
        <f t="shared" si="3"/>
        <v>50212</v>
      </c>
      <c r="H33" s="79">
        <f t="shared" si="3"/>
        <v>18836</v>
      </c>
      <c r="I33" s="79">
        <f t="shared" si="3"/>
        <v>34778</v>
      </c>
      <c r="J33" s="79">
        <f t="shared" si="3"/>
        <v>34236</v>
      </c>
      <c r="K33" s="79">
        <f t="shared" si="3"/>
        <v>35535</v>
      </c>
      <c r="L33" s="79">
        <f t="shared" si="3"/>
        <v>38019</v>
      </c>
      <c r="M33" s="79">
        <f t="shared" si="3"/>
        <v>712819</v>
      </c>
    </row>
    <row r="35" spans="1:13" ht="45" customHeight="1">
      <c r="A35" s="399" t="s">
        <v>54</v>
      </c>
      <c r="B35" s="399"/>
      <c r="C35" s="399"/>
    </row>
  </sheetData>
  <mergeCells count="7">
    <mergeCell ref="A20:B20"/>
    <mergeCell ref="C20:G20"/>
    <mergeCell ref="A35:C35"/>
    <mergeCell ref="A1:L1"/>
    <mergeCell ref="A3:B3"/>
    <mergeCell ref="C3:G3"/>
    <mergeCell ref="A18:L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93"/>
  <sheetViews>
    <sheetView rightToLeft="1" workbookViewId="0">
      <selection activeCell="A5" sqref="A5"/>
    </sheetView>
  </sheetViews>
  <sheetFormatPr defaultRowHeight="15"/>
  <cols>
    <col min="1" max="1" width="26" customWidth="1"/>
    <col min="2" max="2" width="15.7109375" customWidth="1"/>
    <col min="3" max="13" width="13.85546875" bestFit="1" customWidth="1"/>
    <col min="14" max="14" width="14.85546875" bestFit="1" customWidth="1"/>
  </cols>
  <sheetData>
    <row r="1" spans="1:14" s="86" customFormat="1" ht="32.25" customHeight="1">
      <c r="A1" s="393" t="s">
        <v>507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</row>
    <row r="2" spans="1:14" s="47" customForma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87" customFormat="1" ht="15.75">
      <c r="A3" s="411" t="s">
        <v>191</v>
      </c>
      <c r="B3" s="411"/>
      <c r="C3" s="411" t="s">
        <v>190</v>
      </c>
      <c r="D3" s="411"/>
      <c r="E3" s="411"/>
      <c r="F3" s="411"/>
      <c r="G3" s="411"/>
    </row>
    <row r="4" spans="1:14" s="32" customFormat="1" ht="15.75" thickBot="1">
      <c r="N4" s="90"/>
    </row>
    <row r="5" spans="1:14" s="32" customFormat="1" ht="45.75" thickBot="1">
      <c r="A5" s="109" t="s">
        <v>117</v>
      </c>
      <c r="B5" s="84" t="s">
        <v>20</v>
      </c>
      <c r="C5" s="84" t="s">
        <v>21</v>
      </c>
      <c r="D5" s="84" t="s">
        <v>22</v>
      </c>
      <c r="E5" s="84" t="s">
        <v>23</v>
      </c>
      <c r="F5" s="84" t="s">
        <v>24</v>
      </c>
      <c r="G5" s="84" t="s">
        <v>25</v>
      </c>
      <c r="H5" s="84" t="s">
        <v>26</v>
      </c>
      <c r="I5" s="84" t="s">
        <v>27</v>
      </c>
      <c r="J5" s="84" t="s">
        <v>40</v>
      </c>
      <c r="K5" s="84" t="s">
        <v>29</v>
      </c>
      <c r="L5" s="84" t="s">
        <v>30</v>
      </c>
      <c r="M5" s="84" t="s">
        <v>31</v>
      </c>
      <c r="N5" s="112" t="s">
        <v>34</v>
      </c>
    </row>
    <row r="6" spans="1:14" s="32" customFormat="1" ht="32.25" thickBot="1">
      <c r="A6" s="113" t="s">
        <v>163</v>
      </c>
      <c r="B6" s="34">
        <v>9300151833</v>
      </c>
      <c r="C6" s="34">
        <v>10739529623</v>
      </c>
      <c r="D6" s="34">
        <v>8227462927</v>
      </c>
      <c r="E6" s="34">
        <v>6876138938</v>
      </c>
      <c r="F6" s="34">
        <v>6441854011</v>
      </c>
      <c r="G6" s="34">
        <v>5948318944</v>
      </c>
      <c r="H6" s="34">
        <v>4126231414</v>
      </c>
      <c r="I6" s="34">
        <v>7800107824</v>
      </c>
      <c r="J6" s="34">
        <v>2860532611</v>
      </c>
      <c r="K6" s="34">
        <v>5255944283</v>
      </c>
      <c r="L6" s="34">
        <v>4785117359</v>
      </c>
      <c r="M6" s="34">
        <v>6239379623</v>
      </c>
      <c r="N6" s="111">
        <f>SUM(B6:M6)</f>
        <v>78600769390</v>
      </c>
    </row>
    <row r="7" spans="1:14" s="32" customFormat="1" ht="32.25" thickBot="1">
      <c r="A7" s="113" t="s">
        <v>136</v>
      </c>
      <c r="B7" s="34">
        <v>7114713740</v>
      </c>
      <c r="C7" s="34">
        <v>5257229696</v>
      </c>
      <c r="D7" s="34">
        <v>8089728478</v>
      </c>
      <c r="E7" s="34">
        <v>3246890541</v>
      </c>
      <c r="F7" s="34">
        <v>6408968133</v>
      </c>
      <c r="G7" s="34">
        <v>6988464096</v>
      </c>
      <c r="H7" s="34">
        <v>8622518551</v>
      </c>
      <c r="I7" s="34">
        <v>7039050856</v>
      </c>
      <c r="J7" s="34">
        <v>5054512283</v>
      </c>
      <c r="K7" s="34">
        <v>4371150519</v>
      </c>
      <c r="L7" s="34">
        <v>6867281351</v>
      </c>
      <c r="M7" s="34">
        <v>7326657587</v>
      </c>
      <c r="N7" s="37">
        <f t="shared" ref="N7:N69" si="0">SUM(B7:M7)</f>
        <v>76387165831</v>
      </c>
    </row>
    <row r="8" spans="1:14" s="32" customFormat="1" ht="32.25" thickBot="1">
      <c r="A8" s="113" t="s">
        <v>149</v>
      </c>
      <c r="B8" s="34">
        <v>3387876760</v>
      </c>
      <c r="C8" s="34">
        <v>1474032923</v>
      </c>
      <c r="D8" s="34">
        <v>2637465288</v>
      </c>
      <c r="E8" s="34">
        <v>4884954800</v>
      </c>
      <c r="F8" s="34">
        <v>17218255947</v>
      </c>
      <c r="G8" s="34">
        <v>10471961533</v>
      </c>
      <c r="H8" s="34">
        <v>3714072019</v>
      </c>
      <c r="I8" s="34">
        <v>4509844083</v>
      </c>
      <c r="J8" s="34">
        <v>4166688344</v>
      </c>
      <c r="K8" s="34">
        <v>5065952961</v>
      </c>
      <c r="L8" s="34">
        <v>5924963342</v>
      </c>
      <c r="M8" s="34">
        <v>4177290587</v>
      </c>
      <c r="N8" s="37">
        <f t="shared" si="0"/>
        <v>67633358587</v>
      </c>
    </row>
    <row r="9" spans="1:14" s="32" customFormat="1" ht="32.25" thickBot="1">
      <c r="A9" s="113" t="s">
        <v>159</v>
      </c>
      <c r="B9" s="34">
        <v>1752304510</v>
      </c>
      <c r="C9" s="34">
        <v>6312503473</v>
      </c>
      <c r="D9" s="34">
        <v>1578561983</v>
      </c>
      <c r="E9" s="34">
        <v>2038835334</v>
      </c>
      <c r="F9" s="34">
        <v>804266314</v>
      </c>
      <c r="G9" s="34">
        <v>1193658075</v>
      </c>
      <c r="H9" s="34">
        <v>729731494</v>
      </c>
      <c r="I9" s="34">
        <v>1339832294</v>
      </c>
      <c r="J9" s="34">
        <v>814278067</v>
      </c>
      <c r="K9" s="34">
        <v>1083322768</v>
      </c>
      <c r="L9" s="34">
        <v>707678971</v>
      </c>
      <c r="M9" s="34">
        <v>1052774370</v>
      </c>
      <c r="N9" s="37">
        <f t="shared" si="0"/>
        <v>19407747653</v>
      </c>
    </row>
    <row r="10" spans="1:14" s="32" customFormat="1" ht="32.25" thickBot="1">
      <c r="A10" s="113" t="s">
        <v>130</v>
      </c>
      <c r="B10" s="34">
        <v>719025514</v>
      </c>
      <c r="C10" s="34">
        <v>1394630527</v>
      </c>
      <c r="D10" s="34">
        <v>1613640607</v>
      </c>
      <c r="E10" s="34">
        <v>1230149752</v>
      </c>
      <c r="F10" s="34">
        <v>1560277212</v>
      </c>
      <c r="G10" s="34">
        <v>2324546195</v>
      </c>
      <c r="H10" s="34">
        <v>2035268261</v>
      </c>
      <c r="I10" s="34">
        <v>1449555516</v>
      </c>
      <c r="J10" s="34">
        <v>1007832698</v>
      </c>
      <c r="K10" s="34">
        <v>1603971623</v>
      </c>
      <c r="L10" s="34">
        <v>1554879467</v>
      </c>
      <c r="M10" s="34">
        <v>999057812</v>
      </c>
      <c r="N10" s="37">
        <f t="shared" si="0"/>
        <v>17492835184</v>
      </c>
    </row>
    <row r="11" spans="1:14" s="32" customFormat="1" ht="32.25" thickBot="1">
      <c r="A11" s="113" t="s">
        <v>178</v>
      </c>
      <c r="B11" s="34">
        <v>916616520</v>
      </c>
      <c r="C11" s="34">
        <v>1167090613</v>
      </c>
      <c r="D11" s="34">
        <v>1596130666</v>
      </c>
      <c r="E11" s="34">
        <v>2135928667</v>
      </c>
      <c r="F11" s="34">
        <v>1055779811</v>
      </c>
      <c r="G11" s="34">
        <v>1421702176</v>
      </c>
      <c r="H11" s="34">
        <v>2178581536</v>
      </c>
      <c r="I11" s="34">
        <v>1060085919</v>
      </c>
      <c r="J11" s="34">
        <v>897040477</v>
      </c>
      <c r="K11" s="34">
        <v>1136610978</v>
      </c>
      <c r="L11" s="34">
        <v>1706592137</v>
      </c>
      <c r="M11" s="34">
        <v>1172744698</v>
      </c>
      <c r="N11" s="37">
        <f t="shared" si="0"/>
        <v>16444904198</v>
      </c>
    </row>
    <row r="12" spans="1:14" s="32" customFormat="1" ht="32.25" thickBot="1">
      <c r="A12" s="113" t="s">
        <v>146</v>
      </c>
      <c r="B12" s="34">
        <v>1139725768</v>
      </c>
      <c r="C12" s="34">
        <v>1327088435</v>
      </c>
      <c r="D12" s="34">
        <v>1790236032</v>
      </c>
      <c r="E12" s="34">
        <v>1059261013</v>
      </c>
      <c r="F12" s="34">
        <v>1309667552</v>
      </c>
      <c r="G12" s="34">
        <v>603178217</v>
      </c>
      <c r="H12" s="34">
        <v>782807693</v>
      </c>
      <c r="I12" s="34">
        <v>597027955</v>
      </c>
      <c r="J12" s="34">
        <v>865190969</v>
      </c>
      <c r="K12" s="34">
        <v>308007431</v>
      </c>
      <c r="L12" s="34">
        <v>530137929</v>
      </c>
      <c r="M12" s="34">
        <v>1266019679</v>
      </c>
      <c r="N12" s="37">
        <f t="shared" si="0"/>
        <v>11578348673</v>
      </c>
    </row>
    <row r="13" spans="1:14" s="32" customFormat="1" ht="32.25" thickBot="1">
      <c r="A13" s="113" t="s">
        <v>172</v>
      </c>
      <c r="B13" s="34">
        <v>864234738</v>
      </c>
      <c r="C13" s="34">
        <v>530374644</v>
      </c>
      <c r="D13" s="34">
        <v>727354381</v>
      </c>
      <c r="E13" s="34">
        <v>470777910</v>
      </c>
      <c r="F13" s="34">
        <v>538341547</v>
      </c>
      <c r="G13" s="34">
        <v>371175394</v>
      </c>
      <c r="H13" s="34">
        <v>941172043</v>
      </c>
      <c r="I13" s="34">
        <v>676777718</v>
      </c>
      <c r="J13" s="34">
        <v>643877876</v>
      </c>
      <c r="K13" s="34">
        <v>974065743</v>
      </c>
      <c r="L13" s="34">
        <v>535857282</v>
      </c>
      <c r="M13" s="34">
        <v>732971795</v>
      </c>
      <c r="N13" s="37">
        <f t="shared" si="0"/>
        <v>8006981071</v>
      </c>
    </row>
    <row r="14" spans="1:14" s="32" customFormat="1" ht="32.25" thickBot="1">
      <c r="A14" s="113" t="s">
        <v>177</v>
      </c>
      <c r="B14" s="34">
        <v>415600574</v>
      </c>
      <c r="C14" s="34">
        <v>319262058</v>
      </c>
      <c r="D14" s="34">
        <v>1322935288</v>
      </c>
      <c r="E14" s="34">
        <v>1150434639</v>
      </c>
      <c r="F14" s="34">
        <v>1069149992</v>
      </c>
      <c r="G14" s="34">
        <v>222263995</v>
      </c>
      <c r="H14" s="34">
        <v>198371534</v>
      </c>
      <c r="I14" s="34">
        <v>676586808</v>
      </c>
      <c r="J14" s="34">
        <v>195352238</v>
      </c>
      <c r="K14" s="34">
        <v>321263091</v>
      </c>
      <c r="L14" s="34">
        <v>1396344535</v>
      </c>
      <c r="M14" s="34">
        <v>205338095</v>
      </c>
      <c r="N14" s="37">
        <f t="shared" si="0"/>
        <v>7492902847</v>
      </c>
    </row>
    <row r="15" spans="1:14" s="32" customFormat="1" ht="32.25" thickBot="1">
      <c r="A15" s="113" t="s">
        <v>142</v>
      </c>
      <c r="B15" s="34">
        <v>419559782</v>
      </c>
      <c r="C15" s="34">
        <v>1431187430</v>
      </c>
      <c r="D15" s="34">
        <v>118208907</v>
      </c>
      <c r="E15" s="34">
        <v>924220693</v>
      </c>
      <c r="F15" s="34">
        <v>765288070</v>
      </c>
      <c r="G15" s="34">
        <v>710221966</v>
      </c>
      <c r="H15" s="34">
        <v>550194296</v>
      </c>
      <c r="I15" s="34">
        <v>112616709</v>
      </c>
      <c r="J15" s="34">
        <v>169951512</v>
      </c>
      <c r="K15" s="34">
        <v>136886723</v>
      </c>
      <c r="L15" s="34">
        <v>176828048</v>
      </c>
      <c r="M15" s="34">
        <v>282370902</v>
      </c>
      <c r="N15" s="37">
        <f t="shared" si="0"/>
        <v>5797535038</v>
      </c>
    </row>
    <row r="16" spans="1:14" s="32" customFormat="1" ht="32.25" thickBot="1">
      <c r="A16" s="113" t="s">
        <v>138</v>
      </c>
      <c r="B16" s="34">
        <v>660591498</v>
      </c>
      <c r="C16" s="34">
        <v>417441008</v>
      </c>
      <c r="D16" s="34">
        <v>82436976</v>
      </c>
      <c r="E16" s="34">
        <v>750127559</v>
      </c>
      <c r="F16" s="34">
        <v>35446805</v>
      </c>
      <c r="G16" s="34">
        <v>1229427653</v>
      </c>
      <c r="H16" s="34">
        <v>217633348</v>
      </c>
      <c r="I16" s="34">
        <v>815339413</v>
      </c>
      <c r="J16" s="34">
        <v>84544290</v>
      </c>
      <c r="K16" s="34">
        <v>860157074</v>
      </c>
      <c r="L16" s="34">
        <v>115863964</v>
      </c>
      <c r="M16" s="34">
        <v>18332772</v>
      </c>
      <c r="N16" s="37">
        <f t="shared" si="0"/>
        <v>5287342360</v>
      </c>
    </row>
    <row r="17" spans="1:14" s="32" customFormat="1" ht="32.25" thickBot="1">
      <c r="A17" s="113" t="s">
        <v>157</v>
      </c>
      <c r="B17" s="34">
        <v>276416582</v>
      </c>
      <c r="C17" s="34">
        <v>57513899</v>
      </c>
      <c r="D17" s="34">
        <v>282925884</v>
      </c>
      <c r="E17" s="34">
        <v>434317100</v>
      </c>
      <c r="F17" s="34">
        <v>396296553</v>
      </c>
      <c r="G17" s="34">
        <v>244025825</v>
      </c>
      <c r="H17" s="34">
        <v>832170117</v>
      </c>
      <c r="I17" s="34">
        <v>227656843</v>
      </c>
      <c r="J17" s="34">
        <v>195662321</v>
      </c>
      <c r="K17" s="34">
        <v>35448692</v>
      </c>
      <c r="L17" s="34">
        <v>869458314</v>
      </c>
      <c r="M17" s="34">
        <v>221793720</v>
      </c>
      <c r="N17" s="37">
        <f t="shared" si="0"/>
        <v>4073685850</v>
      </c>
    </row>
    <row r="18" spans="1:14" s="32" customFormat="1" ht="32.25" thickBot="1">
      <c r="A18" s="113" t="s">
        <v>168</v>
      </c>
      <c r="B18" s="34">
        <v>619732039</v>
      </c>
      <c r="C18" s="34">
        <v>91798509</v>
      </c>
      <c r="D18" s="34">
        <v>56405779</v>
      </c>
      <c r="E18" s="34">
        <v>81942809</v>
      </c>
      <c r="F18" s="34">
        <v>619223220</v>
      </c>
      <c r="G18" s="34">
        <v>82235393</v>
      </c>
      <c r="H18" s="34">
        <v>245555811</v>
      </c>
      <c r="I18" s="34">
        <v>807622878</v>
      </c>
      <c r="J18" s="34">
        <v>964367642</v>
      </c>
      <c r="K18" s="34">
        <v>130512072</v>
      </c>
      <c r="L18" s="34">
        <v>182034884</v>
      </c>
      <c r="M18" s="34">
        <v>113677809</v>
      </c>
      <c r="N18" s="37">
        <f t="shared" si="0"/>
        <v>3995108845</v>
      </c>
    </row>
    <row r="19" spans="1:14" s="32" customFormat="1" ht="32.25" thickBot="1">
      <c r="A19" s="113" t="s">
        <v>156</v>
      </c>
      <c r="B19" s="34">
        <v>58268962</v>
      </c>
      <c r="C19" s="34">
        <v>42349074</v>
      </c>
      <c r="D19" s="34">
        <v>24289779</v>
      </c>
      <c r="E19" s="34">
        <v>1122163875</v>
      </c>
      <c r="F19" s="34">
        <v>86054277</v>
      </c>
      <c r="G19" s="34">
        <v>13548529</v>
      </c>
      <c r="H19" s="34">
        <v>111443855</v>
      </c>
      <c r="I19" s="34">
        <v>187009648</v>
      </c>
      <c r="J19" s="34">
        <v>1264011411</v>
      </c>
      <c r="K19" s="34">
        <v>29725970</v>
      </c>
      <c r="L19" s="34">
        <v>25000001</v>
      </c>
      <c r="M19" s="34">
        <v>565091534</v>
      </c>
      <c r="N19" s="37">
        <f t="shared" si="0"/>
        <v>3528956915</v>
      </c>
    </row>
    <row r="20" spans="1:14" s="32" customFormat="1" ht="32.25" thickBot="1">
      <c r="A20" s="113" t="s">
        <v>141</v>
      </c>
      <c r="B20" s="34">
        <v>126277581</v>
      </c>
      <c r="C20" s="34">
        <v>1419232859</v>
      </c>
      <c r="D20" s="34">
        <v>76897421</v>
      </c>
      <c r="E20" s="34">
        <v>195457912</v>
      </c>
      <c r="F20" s="34">
        <v>227020884</v>
      </c>
      <c r="G20" s="34">
        <v>180760849</v>
      </c>
      <c r="H20" s="34">
        <v>260641476</v>
      </c>
      <c r="I20" s="34">
        <v>172193834</v>
      </c>
      <c r="J20" s="34">
        <v>155444164</v>
      </c>
      <c r="K20" s="34">
        <v>106616192</v>
      </c>
      <c r="L20" s="34">
        <v>292356765</v>
      </c>
      <c r="M20" s="34">
        <v>87405494</v>
      </c>
      <c r="N20" s="37">
        <f t="shared" si="0"/>
        <v>3300305431</v>
      </c>
    </row>
    <row r="21" spans="1:14" s="32" customFormat="1" ht="30.75" thickBot="1">
      <c r="A21" s="114" t="s">
        <v>194</v>
      </c>
      <c r="B21" s="34">
        <v>361061310</v>
      </c>
      <c r="C21" s="34">
        <v>62131181</v>
      </c>
      <c r="D21" s="34">
        <v>146486530</v>
      </c>
      <c r="E21" s="34">
        <v>101668918</v>
      </c>
      <c r="F21" s="34">
        <v>912014847</v>
      </c>
      <c r="G21" s="34">
        <v>174946956</v>
      </c>
      <c r="H21" s="34">
        <v>187989219</v>
      </c>
      <c r="I21" s="34">
        <v>158120045</v>
      </c>
      <c r="J21" s="34">
        <v>110135606</v>
      </c>
      <c r="K21" s="34">
        <v>298589877</v>
      </c>
      <c r="L21" s="34">
        <v>91411607</v>
      </c>
      <c r="M21" s="34">
        <v>231848152</v>
      </c>
      <c r="N21" s="37">
        <f t="shared" si="0"/>
        <v>2836404248</v>
      </c>
    </row>
    <row r="22" spans="1:14" s="32" customFormat="1" ht="32.25" thickBot="1">
      <c r="A22" s="113" t="s">
        <v>151</v>
      </c>
      <c r="B22" s="34">
        <v>126775526</v>
      </c>
      <c r="C22" s="34">
        <v>121828522</v>
      </c>
      <c r="D22" s="34">
        <v>122402932</v>
      </c>
      <c r="E22" s="34">
        <v>82929404</v>
      </c>
      <c r="F22" s="34">
        <v>548858377</v>
      </c>
      <c r="G22" s="34">
        <v>80893822</v>
      </c>
      <c r="H22" s="34">
        <v>53495322</v>
      </c>
      <c r="I22" s="34">
        <v>194297046</v>
      </c>
      <c r="J22" s="34">
        <v>54556140</v>
      </c>
      <c r="K22" s="34">
        <v>108390869</v>
      </c>
      <c r="L22" s="34">
        <v>689672143</v>
      </c>
      <c r="M22" s="34">
        <v>372145691</v>
      </c>
      <c r="N22" s="37">
        <f t="shared" si="0"/>
        <v>2556245794</v>
      </c>
    </row>
    <row r="23" spans="1:14" s="32" customFormat="1" ht="32.25" thickBot="1">
      <c r="A23" s="113" t="s">
        <v>158</v>
      </c>
      <c r="B23" s="34">
        <v>5463632</v>
      </c>
      <c r="C23" s="34">
        <v>30524042</v>
      </c>
      <c r="D23" s="34">
        <v>3026922</v>
      </c>
      <c r="E23" s="34" t="s">
        <v>107</v>
      </c>
      <c r="F23" s="34">
        <v>11852510</v>
      </c>
      <c r="G23" s="34">
        <v>30666632</v>
      </c>
      <c r="H23" s="34">
        <v>1925400000</v>
      </c>
      <c r="I23" s="34">
        <v>223020174</v>
      </c>
      <c r="J23" s="34" t="s">
        <v>107</v>
      </c>
      <c r="K23" s="34">
        <v>13286199</v>
      </c>
      <c r="L23" s="34">
        <v>2550000</v>
      </c>
      <c r="M23" s="34">
        <v>205213466</v>
      </c>
      <c r="N23" s="37">
        <f t="shared" si="0"/>
        <v>2451003577</v>
      </c>
    </row>
    <row r="24" spans="1:14" s="32" customFormat="1" ht="32.25" thickBot="1">
      <c r="A24" s="113" t="s">
        <v>170</v>
      </c>
      <c r="B24" s="34">
        <v>178385304</v>
      </c>
      <c r="C24" s="34">
        <v>33168251</v>
      </c>
      <c r="D24" s="34">
        <v>261152316</v>
      </c>
      <c r="E24" s="34">
        <v>35604111</v>
      </c>
      <c r="F24" s="34">
        <v>281424318</v>
      </c>
      <c r="G24" s="34">
        <v>440088281</v>
      </c>
      <c r="H24" s="34">
        <v>104868374</v>
      </c>
      <c r="I24" s="34">
        <v>188362146</v>
      </c>
      <c r="J24" s="34">
        <v>192659995</v>
      </c>
      <c r="K24" s="34">
        <v>438562738</v>
      </c>
      <c r="L24" s="34">
        <v>16735740</v>
      </c>
      <c r="M24" s="34">
        <v>267496710</v>
      </c>
      <c r="N24" s="37">
        <f t="shared" si="0"/>
        <v>2438508284</v>
      </c>
    </row>
    <row r="25" spans="1:14" s="32" customFormat="1" ht="32.25" thickBot="1">
      <c r="A25" s="113" t="s">
        <v>152</v>
      </c>
      <c r="B25" s="34">
        <v>139816222</v>
      </c>
      <c r="C25" s="34">
        <v>62386039</v>
      </c>
      <c r="D25" s="34">
        <v>87088623</v>
      </c>
      <c r="E25" s="34">
        <v>88296561</v>
      </c>
      <c r="F25" s="34">
        <v>60206973</v>
      </c>
      <c r="G25" s="34">
        <v>849939767</v>
      </c>
      <c r="H25" s="34">
        <v>337091203</v>
      </c>
      <c r="I25" s="34">
        <v>35971342</v>
      </c>
      <c r="J25" s="34">
        <v>72043211</v>
      </c>
      <c r="K25" s="34">
        <v>263463197</v>
      </c>
      <c r="L25" s="34">
        <v>103450463</v>
      </c>
      <c r="M25" s="34">
        <v>209405255</v>
      </c>
      <c r="N25" s="37">
        <f t="shared" si="0"/>
        <v>2309158856</v>
      </c>
    </row>
    <row r="26" spans="1:14" s="32" customFormat="1" ht="32.25" thickBot="1">
      <c r="A26" s="113" t="s">
        <v>145</v>
      </c>
      <c r="B26" s="34">
        <v>4130454</v>
      </c>
      <c r="C26" s="34">
        <v>312909105</v>
      </c>
      <c r="D26" s="34">
        <v>289165041</v>
      </c>
      <c r="E26" s="34">
        <v>784506</v>
      </c>
      <c r="F26" s="34">
        <v>387573006</v>
      </c>
      <c r="G26" s="34">
        <v>29065081</v>
      </c>
      <c r="H26" s="34">
        <v>222938336</v>
      </c>
      <c r="I26" s="34">
        <v>464849172</v>
      </c>
      <c r="J26" s="34">
        <v>431994</v>
      </c>
      <c r="K26" s="34">
        <v>124149398</v>
      </c>
      <c r="L26" s="34">
        <v>131391795</v>
      </c>
      <c r="M26" s="34">
        <v>179713474</v>
      </c>
      <c r="N26" s="37">
        <f t="shared" si="0"/>
        <v>2147101362</v>
      </c>
    </row>
    <row r="27" spans="1:14" s="32" customFormat="1" ht="32.25" thickBot="1">
      <c r="A27" s="113" t="s">
        <v>161</v>
      </c>
      <c r="B27" s="34">
        <v>430524803</v>
      </c>
      <c r="C27" s="34">
        <v>4553861</v>
      </c>
      <c r="D27" s="34">
        <v>103194260</v>
      </c>
      <c r="E27" s="34">
        <v>50889812</v>
      </c>
      <c r="F27" s="34">
        <v>32888929</v>
      </c>
      <c r="G27" s="34">
        <v>296136441</v>
      </c>
      <c r="H27" s="34">
        <v>13355170</v>
      </c>
      <c r="I27" s="34">
        <v>1031036499</v>
      </c>
      <c r="J27" s="34">
        <v>9753437</v>
      </c>
      <c r="K27" s="34">
        <v>47980342</v>
      </c>
      <c r="L27" s="34">
        <v>12798304</v>
      </c>
      <c r="M27" s="34">
        <v>90847250</v>
      </c>
      <c r="N27" s="37">
        <f t="shared" si="0"/>
        <v>2123959108</v>
      </c>
    </row>
    <row r="28" spans="1:14" s="32" customFormat="1" ht="32.25" thickBot="1">
      <c r="A28" s="113" t="s">
        <v>144</v>
      </c>
      <c r="B28" s="34">
        <v>116029561</v>
      </c>
      <c r="C28" s="34">
        <v>176384853</v>
      </c>
      <c r="D28" s="34">
        <v>103807892</v>
      </c>
      <c r="E28" s="34">
        <v>291178860</v>
      </c>
      <c r="F28" s="34">
        <v>356498286</v>
      </c>
      <c r="G28" s="34">
        <v>212311710</v>
      </c>
      <c r="H28" s="34">
        <v>140942653</v>
      </c>
      <c r="I28" s="34">
        <v>119831663</v>
      </c>
      <c r="J28" s="34">
        <v>103315175</v>
      </c>
      <c r="K28" s="34">
        <v>99975467</v>
      </c>
      <c r="L28" s="34">
        <v>157621630</v>
      </c>
      <c r="M28" s="34">
        <v>125365704</v>
      </c>
      <c r="N28" s="37">
        <f t="shared" si="0"/>
        <v>2003263454</v>
      </c>
    </row>
    <row r="29" spans="1:14" s="32" customFormat="1" ht="32.25" thickBot="1">
      <c r="A29" s="113" t="s">
        <v>148</v>
      </c>
      <c r="B29" s="34">
        <v>103010789</v>
      </c>
      <c r="C29" s="34">
        <v>110202452</v>
      </c>
      <c r="D29" s="34">
        <v>69772794</v>
      </c>
      <c r="E29" s="34">
        <v>34783259</v>
      </c>
      <c r="F29" s="34" t="s">
        <v>107</v>
      </c>
      <c r="G29" s="34">
        <v>182997921</v>
      </c>
      <c r="H29" s="34">
        <v>49381999</v>
      </c>
      <c r="I29" s="34">
        <v>182607802</v>
      </c>
      <c r="J29" s="34">
        <v>33081104</v>
      </c>
      <c r="K29" s="34">
        <v>198435554</v>
      </c>
      <c r="L29" s="34">
        <v>2180392</v>
      </c>
      <c r="M29" s="34">
        <v>719999801</v>
      </c>
      <c r="N29" s="37">
        <f t="shared" si="0"/>
        <v>1686453867</v>
      </c>
    </row>
    <row r="30" spans="1:14" s="32" customFormat="1" ht="32.25" thickBot="1">
      <c r="A30" s="113" t="s">
        <v>160</v>
      </c>
      <c r="B30" s="34">
        <v>100353520</v>
      </c>
      <c r="C30" s="34">
        <v>64558492</v>
      </c>
      <c r="D30" s="34">
        <v>371738</v>
      </c>
      <c r="E30" s="34">
        <v>141922734</v>
      </c>
      <c r="F30" s="34">
        <v>188299947</v>
      </c>
      <c r="G30" s="34">
        <v>22375309</v>
      </c>
      <c r="H30" s="34">
        <v>115482870</v>
      </c>
      <c r="I30" s="34">
        <v>483311637</v>
      </c>
      <c r="J30" s="34">
        <v>22499284</v>
      </c>
      <c r="K30" s="34">
        <v>87498673</v>
      </c>
      <c r="L30" s="34">
        <v>191363476</v>
      </c>
      <c r="M30" s="34">
        <v>1883466</v>
      </c>
      <c r="N30" s="37">
        <f t="shared" si="0"/>
        <v>1419921146</v>
      </c>
    </row>
    <row r="31" spans="1:14" s="32" customFormat="1" ht="32.25" thickBot="1">
      <c r="A31" s="113" t="s">
        <v>129</v>
      </c>
      <c r="B31" s="34">
        <v>96235274</v>
      </c>
      <c r="C31" s="34">
        <v>8737035</v>
      </c>
      <c r="D31" s="34">
        <v>99238307</v>
      </c>
      <c r="E31" s="34">
        <v>147643616</v>
      </c>
      <c r="F31" s="34">
        <v>23466894</v>
      </c>
      <c r="G31" s="34">
        <v>192403983</v>
      </c>
      <c r="H31" s="34">
        <v>119000630</v>
      </c>
      <c r="I31" s="34">
        <v>314996037</v>
      </c>
      <c r="J31" s="34">
        <v>4587091</v>
      </c>
      <c r="K31" s="34">
        <v>104789951</v>
      </c>
      <c r="L31" s="34">
        <v>97712184</v>
      </c>
      <c r="M31" s="34">
        <v>205530153</v>
      </c>
      <c r="N31" s="37">
        <f t="shared" si="0"/>
        <v>1414341155</v>
      </c>
    </row>
    <row r="32" spans="1:14" s="32" customFormat="1" ht="32.25" thickBot="1">
      <c r="A32" s="113" t="s">
        <v>193</v>
      </c>
      <c r="B32" s="34">
        <v>2183727</v>
      </c>
      <c r="C32" s="34">
        <v>8500000</v>
      </c>
      <c r="D32" s="34">
        <v>46231488</v>
      </c>
      <c r="E32" s="34">
        <v>163265108</v>
      </c>
      <c r="F32" s="34">
        <v>136007698</v>
      </c>
      <c r="G32" s="34">
        <v>34812902</v>
      </c>
      <c r="H32" s="34">
        <v>8431697</v>
      </c>
      <c r="I32" s="34">
        <v>290658386</v>
      </c>
      <c r="J32" s="34">
        <v>24013029</v>
      </c>
      <c r="K32" s="34">
        <v>282827490</v>
      </c>
      <c r="L32" s="34">
        <v>95416292</v>
      </c>
      <c r="M32" s="34">
        <v>187978519</v>
      </c>
      <c r="N32" s="37">
        <f t="shared" si="0"/>
        <v>1280326336</v>
      </c>
    </row>
    <row r="33" spans="1:14" s="32" customFormat="1" ht="32.25" thickBot="1">
      <c r="A33" s="113" t="s">
        <v>135</v>
      </c>
      <c r="B33" s="34">
        <v>212930615</v>
      </c>
      <c r="C33" s="34">
        <v>6381873</v>
      </c>
      <c r="D33" s="34">
        <v>167462388</v>
      </c>
      <c r="E33" s="34">
        <v>49603773</v>
      </c>
      <c r="F33" s="34">
        <v>45134213</v>
      </c>
      <c r="G33" s="34">
        <v>20636935</v>
      </c>
      <c r="H33" s="34">
        <v>117911201</v>
      </c>
      <c r="I33" s="34">
        <v>73028826</v>
      </c>
      <c r="J33" s="34">
        <v>181457056</v>
      </c>
      <c r="K33" s="34">
        <v>28763976</v>
      </c>
      <c r="L33" s="34">
        <v>150399860</v>
      </c>
      <c r="M33" s="34">
        <v>55802260</v>
      </c>
      <c r="N33" s="37">
        <f t="shared" si="0"/>
        <v>1109512976</v>
      </c>
    </row>
    <row r="34" spans="1:14" s="32" customFormat="1" ht="32.25" thickBot="1">
      <c r="A34" s="113" t="s">
        <v>139</v>
      </c>
      <c r="B34" s="34">
        <v>234200000</v>
      </c>
      <c r="C34" s="34">
        <v>90245609</v>
      </c>
      <c r="D34" s="34">
        <v>233050649</v>
      </c>
      <c r="E34" s="34">
        <v>61041965</v>
      </c>
      <c r="F34" s="34">
        <v>1458347</v>
      </c>
      <c r="G34" s="34">
        <v>341550</v>
      </c>
      <c r="H34" s="34">
        <v>139500000</v>
      </c>
      <c r="I34" s="34">
        <v>5663629</v>
      </c>
      <c r="J34" s="34">
        <v>146035154</v>
      </c>
      <c r="K34" s="34">
        <v>108240138</v>
      </c>
      <c r="L34" s="34">
        <v>8228407</v>
      </c>
      <c r="M34" s="34">
        <v>7914147</v>
      </c>
      <c r="N34" s="37">
        <f t="shared" si="0"/>
        <v>1035919595</v>
      </c>
    </row>
    <row r="35" spans="1:14" s="32" customFormat="1" ht="32.25" thickBot="1">
      <c r="A35" s="113" t="s">
        <v>154</v>
      </c>
      <c r="B35" s="34">
        <v>56827428</v>
      </c>
      <c r="C35" s="34">
        <v>131231896</v>
      </c>
      <c r="D35" s="34">
        <v>15649255</v>
      </c>
      <c r="E35" s="34">
        <v>115768181</v>
      </c>
      <c r="F35" s="34">
        <v>9554209</v>
      </c>
      <c r="G35" s="34">
        <v>146774330</v>
      </c>
      <c r="H35" s="34">
        <v>10856255</v>
      </c>
      <c r="I35" s="34">
        <v>125599867</v>
      </c>
      <c r="J35" s="34">
        <v>128375033</v>
      </c>
      <c r="K35" s="34">
        <v>93755255</v>
      </c>
      <c r="L35" s="34" t="s">
        <v>107</v>
      </c>
      <c r="M35" s="34">
        <v>41874371</v>
      </c>
      <c r="N35" s="37">
        <f t="shared" si="0"/>
        <v>876266080</v>
      </c>
    </row>
    <row r="36" spans="1:14" s="32" customFormat="1" ht="32.25" thickBot="1">
      <c r="A36" s="115" t="s">
        <v>123</v>
      </c>
      <c r="B36" s="34">
        <v>398530000</v>
      </c>
      <c r="C36" s="34">
        <v>4344673</v>
      </c>
      <c r="D36" s="34">
        <v>34037084</v>
      </c>
      <c r="E36" s="34">
        <v>2994732</v>
      </c>
      <c r="F36" s="34">
        <v>4697000</v>
      </c>
      <c r="G36" s="34">
        <v>49851457</v>
      </c>
      <c r="H36" s="34">
        <v>49346813</v>
      </c>
      <c r="I36" s="34">
        <v>236564</v>
      </c>
      <c r="J36" s="34">
        <v>186396411</v>
      </c>
      <c r="K36" s="34" t="s">
        <v>107</v>
      </c>
      <c r="L36" s="34">
        <v>111095000</v>
      </c>
      <c r="M36" s="34">
        <v>21451037</v>
      </c>
      <c r="N36" s="37">
        <f t="shared" si="0"/>
        <v>862980771</v>
      </c>
    </row>
    <row r="37" spans="1:14" s="32" customFormat="1" ht="32.25" thickBot="1">
      <c r="A37" s="115" t="s">
        <v>118</v>
      </c>
      <c r="B37" s="34">
        <v>39680726</v>
      </c>
      <c r="C37" s="34">
        <v>36181948</v>
      </c>
      <c r="D37" s="34">
        <v>28849164</v>
      </c>
      <c r="E37" s="34">
        <v>36402475</v>
      </c>
      <c r="F37" s="34">
        <v>26681013</v>
      </c>
      <c r="G37" s="34">
        <v>33889956</v>
      </c>
      <c r="H37" s="34">
        <v>41614909</v>
      </c>
      <c r="I37" s="34">
        <v>14243995</v>
      </c>
      <c r="J37" s="34">
        <v>31987557</v>
      </c>
      <c r="K37" s="34">
        <v>44526993</v>
      </c>
      <c r="L37" s="34">
        <v>281799577</v>
      </c>
      <c r="M37" s="34">
        <v>215683738</v>
      </c>
      <c r="N37" s="37">
        <f t="shared" si="0"/>
        <v>831542051</v>
      </c>
    </row>
    <row r="38" spans="1:14" s="32" customFormat="1" ht="32.25" thickBot="1">
      <c r="A38" s="115" t="s">
        <v>120</v>
      </c>
      <c r="B38" s="34">
        <v>13680112</v>
      </c>
      <c r="C38" s="34">
        <v>14273673</v>
      </c>
      <c r="D38" s="34">
        <v>204298464</v>
      </c>
      <c r="E38" s="34">
        <v>299138</v>
      </c>
      <c r="F38" s="34">
        <v>13412531</v>
      </c>
      <c r="G38" s="34">
        <v>156896702</v>
      </c>
      <c r="H38" s="34">
        <v>2714645</v>
      </c>
      <c r="I38" s="34">
        <v>272098865</v>
      </c>
      <c r="J38" s="34">
        <v>15200000</v>
      </c>
      <c r="K38" s="34">
        <v>50797237</v>
      </c>
      <c r="L38" s="34">
        <v>13911019</v>
      </c>
      <c r="M38" s="34">
        <v>28125802</v>
      </c>
      <c r="N38" s="37">
        <f t="shared" si="0"/>
        <v>785708188</v>
      </c>
    </row>
    <row r="39" spans="1:14" s="32" customFormat="1" ht="30.75" thickBot="1">
      <c r="A39" s="105" t="s">
        <v>196</v>
      </c>
      <c r="B39" s="104">
        <v>60030076</v>
      </c>
      <c r="C39" s="34">
        <v>23325477</v>
      </c>
      <c r="D39" s="34">
        <v>179893589</v>
      </c>
      <c r="E39" s="34">
        <v>108703398</v>
      </c>
      <c r="F39" s="34">
        <v>6328911</v>
      </c>
      <c r="G39" s="34">
        <v>119489129</v>
      </c>
      <c r="H39" s="34">
        <v>75368596</v>
      </c>
      <c r="I39" s="34">
        <v>14360196</v>
      </c>
      <c r="J39" s="34">
        <v>25335094</v>
      </c>
      <c r="K39" s="34">
        <v>30356984</v>
      </c>
      <c r="L39" s="34">
        <v>63132110</v>
      </c>
      <c r="M39" s="34">
        <v>54945173</v>
      </c>
      <c r="N39" s="37">
        <f t="shared" si="0"/>
        <v>761268733</v>
      </c>
    </row>
    <row r="40" spans="1:14" s="32" customFormat="1" ht="32.25" thickBot="1">
      <c r="A40" s="113" t="s">
        <v>128</v>
      </c>
      <c r="B40" s="34">
        <v>845674</v>
      </c>
      <c r="C40" s="34">
        <v>2634047</v>
      </c>
      <c r="D40" s="34">
        <v>115555688</v>
      </c>
      <c r="E40" s="34">
        <v>9389736</v>
      </c>
      <c r="F40" s="34">
        <v>112735400</v>
      </c>
      <c r="G40" s="34">
        <v>119503122</v>
      </c>
      <c r="H40" s="34">
        <v>122681324</v>
      </c>
      <c r="I40" s="34">
        <v>18902691</v>
      </c>
      <c r="J40" s="34">
        <v>23800000</v>
      </c>
      <c r="K40" s="34">
        <v>120196233</v>
      </c>
      <c r="L40" s="34">
        <v>3734981</v>
      </c>
      <c r="M40" s="34">
        <v>21182511</v>
      </c>
      <c r="N40" s="37">
        <f t="shared" si="0"/>
        <v>671161407</v>
      </c>
    </row>
    <row r="41" spans="1:14" s="32" customFormat="1" ht="32.25" thickBot="1">
      <c r="A41" s="113" t="s">
        <v>171</v>
      </c>
      <c r="B41" s="34">
        <v>213691631</v>
      </c>
      <c r="C41" s="34">
        <v>88354028</v>
      </c>
      <c r="D41" s="34">
        <v>50114496</v>
      </c>
      <c r="E41" s="34">
        <v>18254349</v>
      </c>
      <c r="F41" s="34">
        <v>63512117</v>
      </c>
      <c r="G41" s="34">
        <v>44035355</v>
      </c>
      <c r="H41" s="34">
        <v>6440830</v>
      </c>
      <c r="I41" s="34">
        <v>2678834</v>
      </c>
      <c r="J41" s="34">
        <v>66260205</v>
      </c>
      <c r="K41" s="34">
        <v>6543706</v>
      </c>
      <c r="L41" s="34">
        <v>70316120</v>
      </c>
      <c r="M41" s="34">
        <v>5109428</v>
      </c>
      <c r="N41" s="37">
        <f t="shared" si="0"/>
        <v>635311099</v>
      </c>
    </row>
    <row r="42" spans="1:14" s="32" customFormat="1" ht="32.25" thickBot="1">
      <c r="A42" s="113" t="s">
        <v>187</v>
      </c>
      <c r="B42" s="34">
        <v>87200000</v>
      </c>
      <c r="C42" s="34" t="s">
        <v>107</v>
      </c>
      <c r="D42" s="34" t="s">
        <v>107</v>
      </c>
      <c r="E42" s="34" t="s">
        <v>107</v>
      </c>
      <c r="F42" s="34">
        <v>161942862</v>
      </c>
      <c r="G42" s="34" t="s">
        <v>107</v>
      </c>
      <c r="H42" s="34">
        <v>81875663</v>
      </c>
      <c r="I42" s="34" t="s">
        <v>107</v>
      </c>
      <c r="J42" s="34">
        <v>636415</v>
      </c>
      <c r="K42" s="34">
        <v>50732643</v>
      </c>
      <c r="L42" s="34">
        <v>92804731</v>
      </c>
      <c r="M42" s="34">
        <v>137702647</v>
      </c>
      <c r="N42" s="37">
        <f t="shared" si="0"/>
        <v>612894961</v>
      </c>
    </row>
    <row r="43" spans="1:14" s="32" customFormat="1" ht="32.25" thickBot="1">
      <c r="A43" s="113" t="s">
        <v>189</v>
      </c>
      <c r="B43" s="34" t="s">
        <v>107</v>
      </c>
      <c r="C43" s="34">
        <v>41579972</v>
      </c>
      <c r="D43" s="34">
        <v>531501</v>
      </c>
      <c r="E43" s="34">
        <v>86187529</v>
      </c>
      <c r="F43" s="34">
        <v>74938099</v>
      </c>
      <c r="G43" s="34">
        <v>9363528</v>
      </c>
      <c r="H43" s="34">
        <v>84329725</v>
      </c>
      <c r="I43" s="34">
        <v>112375318</v>
      </c>
      <c r="J43" s="34">
        <v>2407888</v>
      </c>
      <c r="K43" s="34">
        <v>56700000</v>
      </c>
      <c r="L43" s="34">
        <v>919124</v>
      </c>
      <c r="M43" s="34">
        <v>1740747</v>
      </c>
      <c r="N43" s="37">
        <f t="shared" si="0"/>
        <v>471073431</v>
      </c>
    </row>
    <row r="44" spans="1:14" s="32" customFormat="1" ht="32.25" thickBot="1">
      <c r="A44" s="113" t="s">
        <v>155</v>
      </c>
      <c r="B44" s="34">
        <v>2370000</v>
      </c>
      <c r="C44" s="34">
        <v>60087265</v>
      </c>
      <c r="D44" s="34">
        <v>4321940</v>
      </c>
      <c r="E44" s="34">
        <v>312799095</v>
      </c>
      <c r="F44" s="34">
        <v>4383532</v>
      </c>
      <c r="G44" s="34">
        <v>17500000</v>
      </c>
      <c r="H44" s="34">
        <v>1630969</v>
      </c>
      <c r="I44" s="34">
        <v>26015400</v>
      </c>
      <c r="J44" s="34" t="s">
        <v>107</v>
      </c>
      <c r="K44" s="34" t="s">
        <v>107</v>
      </c>
      <c r="L44" s="34">
        <v>18100000</v>
      </c>
      <c r="M44" s="34" t="s">
        <v>107</v>
      </c>
      <c r="N44" s="37">
        <f t="shared" si="0"/>
        <v>447208201</v>
      </c>
    </row>
    <row r="45" spans="1:14" s="32" customFormat="1" ht="32.25" thickBot="1">
      <c r="A45" s="113" t="s">
        <v>181</v>
      </c>
      <c r="B45" s="34" t="s">
        <v>107</v>
      </c>
      <c r="C45" s="34" t="s">
        <v>107</v>
      </c>
      <c r="D45" s="34" t="s">
        <v>107</v>
      </c>
      <c r="E45" s="34" t="s">
        <v>107</v>
      </c>
      <c r="F45" s="34" t="s">
        <v>107</v>
      </c>
      <c r="G45" s="34" t="s">
        <v>107</v>
      </c>
      <c r="H45" s="34" t="s">
        <v>107</v>
      </c>
      <c r="I45" s="34">
        <v>865589</v>
      </c>
      <c r="J45" s="34" t="s">
        <v>107</v>
      </c>
      <c r="K45" s="34">
        <v>435550000</v>
      </c>
      <c r="L45" s="34">
        <v>7396150</v>
      </c>
      <c r="M45" s="34" t="s">
        <v>107</v>
      </c>
      <c r="N45" s="37">
        <f t="shared" si="0"/>
        <v>443811739</v>
      </c>
    </row>
    <row r="46" spans="1:14" s="32" customFormat="1" ht="32.25" thickBot="1">
      <c r="A46" s="113" t="s">
        <v>169</v>
      </c>
      <c r="B46" s="34">
        <v>6663026</v>
      </c>
      <c r="C46" s="34">
        <v>37268679</v>
      </c>
      <c r="D46" s="34">
        <v>6317001</v>
      </c>
      <c r="E46" s="34">
        <v>70099523</v>
      </c>
      <c r="F46" s="34">
        <v>4183161</v>
      </c>
      <c r="G46" s="34">
        <v>95263887</v>
      </c>
      <c r="H46" s="34" t="s">
        <v>107</v>
      </c>
      <c r="I46" s="34">
        <v>9896552</v>
      </c>
      <c r="J46" s="34">
        <v>26908460</v>
      </c>
      <c r="K46" s="34">
        <v>125072464</v>
      </c>
      <c r="L46" s="34">
        <v>15556043</v>
      </c>
      <c r="M46" s="34">
        <v>24675821</v>
      </c>
      <c r="N46" s="37">
        <f t="shared" si="0"/>
        <v>421904617</v>
      </c>
    </row>
    <row r="47" spans="1:14" s="32" customFormat="1" ht="32.25" thickBot="1">
      <c r="A47" s="113" t="s">
        <v>175</v>
      </c>
      <c r="B47" s="34">
        <v>11893653</v>
      </c>
      <c r="C47" s="34">
        <v>920342</v>
      </c>
      <c r="D47" s="34">
        <v>17852830</v>
      </c>
      <c r="E47" s="34">
        <v>98318050</v>
      </c>
      <c r="F47" s="34">
        <v>165591</v>
      </c>
      <c r="G47" s="34">
        <v>875460</v>
      </c>
      <c r="H47" s="34">
        <v>49382141</v>
      </c>
      <c r="I47" s="34">
        <v>5262568</v>
      </c>
      <c r="J47" s="34">
        <v>407966</v>
      </c>
      <c r="K47" s="34">
        <v>9730404</v>
      </c>
      <c r="L47" s="34">
        <v>37347723</v>
      </c>
      <c r="M47" s="34">
        <v>97714032</v>
      </c>
      <c r="N47" s="37">
        <f t="shared" si="0"/>
        <v>329870760</v>
      </c>
    </row>
    <row r="48" spans="1:14" s="32" customFormat="1" ht="32.25" thickBot="1">
      <c r="A48" s="113" t="s">
        <v>140</v>
      </c>
      <c r="B48" s="34">
        <v>34400000</v>
      </c>
      <c r="C48" s="34">
        <v>25877667</v>
      </c>
      <c r="D48" s="34" t="s">
        <v>107</v>
      </c>
      <c r="E48" s="34" t="s">
        <v>107</v>
      </c>
      <c r="F48" s="34">
        <v>30543581</v>
      </c>
      <c r="G48" s="34" t="s">
        <v>107</v>
      </c>
      <c r="H48" s="34">
        <v>62203719</v>
      </c>
      <c r="I48" s="34" t="s">
        <v>107</v>
      </c>
      <c r="J48" s="34">
        <v>37020000</v>
      </c>
      <c r="K48" s="34" t="s">
        <v>107</v>
      </c>
      <c r="L48" s="34">
        <v>79992673</v>
      </c>
      <c r="M48" s="34">
        <v>28580149</v>
      </c>
      <c r="N48" s="37">
        <f t="shared" si="0"/>
        <v>298617789</v>
      </c>
    </row>
    <row r="49" spans="1:14" s="32" customFormat="1" ht="32.25" thickBot="1">
      <c r="A49" s="115" t="s">
        <v>122</v>
      </c>
      <c r="B49" s="34">
        <v>10350000</v>
      </c>
      <c r="C49" s="34">
        <v>17990905</v>
      </c>
      <c r="D49" s="34" t="s">
        <v>107</v>
      </c>
      <c r="E49" s="34" t="s">
        <v>107</v>
      </c>
      <c r="F49" s="34" t="s">
        <v>107</v>
      </c>
      <c r="G49" s="34" t="s">
        <v>107</v>
      </c>
      <c r="H49" s="34" t="s">
        <v>107</v>
      </c>
      <c r="I49" s="34">
        <v>131711304</v>
      </c>
      <c r="J49" s="34" t="s">
        <v>107</v>
      </c>
      <c r="K49" s="34" t="s">
        <v>107</v>
      </c>
      <c r="L49" s="34">
        <v>107300000</v>
      </c>
      <c r="M49" s="34">
        <v>29854639</v>
      </c>
      <c r="N49" s="37">
        <f t="shared" si="0"/>
        <v>297206848</v>
      </c>
    </row>
    <row r="50" spans="1:14" s="32" customFormat="1" ht="32.25" thickBot="1">
      <c r="A50" s="113" t="s">
        <v>182</v>
      </c>
      <c r="B50" s="34" t="s">
        <v>107</v>
      </c>
      <c r="C50" s="34">
        <v>6204399</v>
      </c>
      <c r="D50" s="34">
        <v>68379715</v>
      </c>
      <c r="E50" s="34">
        <v>11663897</v>
      </c>
      <c r="F50" s="34">
        <v>8071284</v>
      </c>
      <c r="G50" s="34">
        <v>122162944</v>
      </c>
      <c r="H50" s="34" t="s">
        <v>107</v>
      </c>
      <c r="I50" s="34" t="s">
        <v>107</v>
      </c>
      <c r="J50" s="34" t="s">
        <v>107</v>
      </c>
      <c r="K50" s="34">
        <v>12020962</v>
      </c>
      <c r="L50" s="34">
        <v>48750294</v>
      </c>
      <c r="M50" s="34" t="s">
        <v>107</v>
      </c>
      <c r="N50" s="37">
        <f t="shared" si="0"/>
        <v>277253495</v>
      </c>
    </row>
    <row r="51" spans="1:14" s="32" customFormat="1" ht="32.25" thickBot="1">
      <c r="A51" s="113" t="s">
        <v>132</v>
      </c>
      <c r="B51" s="34">
        <v>6760248</v>
      </c>
      <c r="C51" s="34">
        <v>252989</v>
      </c>
      <c r="D51" s="34">
        <v>364450</v>
      </c>
      <c r="E51" s="34">
        <v>17495044</v>
      </c>
      <c r="F51" s="34">
        <v>15890241</v>
      </c>
      <c r="G51" s="34">
        <v>9148245</v>
      </c>
      <c r="H51" s="34">
        <v>52972357</v>
      </c>
      <c r="I51" s="34" t="s">
        <v>107</v>
      </c>
      <c r="J51" s="34">
        <v>2038492</v>
      </c>
      <c r="K51" s="34">
        <v>97105306</v>
      </c>
      <c r="L51" s="34">
        <v>34192020</v>
      </c>
      <c r="M51" s="34">
        <v>35728362</v>
      </c>
      <c r="N51" s="37">
        <f t="shared" si="0"/>
        <v>271947754</v>
      </c>
    </row>
    <row r="52" spans="1:14" s="32" customFormat="1" ht="32.25" thickBot="1">
      <c r="A52" s="113" t="s">
        <v>162</v>
      </c>
      <c r="B52" s="34">
        <v>547123</v>
      </c>
      <c r="C52" s="34">
        <v>36546408</v>
      </c>
      <c r="D52" s="34">
        <v>3679349</v>
      </c>
      <c r="E52" s="34">
        <v>22274300</v>
      </c>
      <c r="F52" s="34" t="s">
        <v>107</v>
      </c>
      <c r="G52" s="34">
        <v>8672888</v>
      </c>
      <c r="H52" s="34">
        <v>48450636</v>
      </c>
      <c r="I52" s="34">
        <v>22203892</v>
      </c>
      <c r="J52" s="34">
        <v>6754773</v>
      </c>
      <c r="K52" s="34">
        <v>11618129</v>
      </c>
      <c r="L52" s="34">
        <v>275182</v>
      </c>
      <c r="M52" s="34">
        <v>16518999</v>
      </c>
      <c r="N52" s="37">
        <f t="shared" si="0"/>
        <v>177541679</v>
      </c>
    </row>
    <row r="53" spans="1:14" s="32" customFormat="1" ht="32.25" thickBot="1">
      <c r="A53" s="113" t="s">
        <v>143</v>
      </c>
      <c r="B53" s="34">
        <v>3781048</v>
      </c>
      <c r="C53" s="34">
        <v>14007058</v>
      </c>
      <c r="D53" s="34">
        <v>115973</v>
      </c>
      <c r="E53" s="34">
        <v>28307889</v>
      </c>
      <c r="F53" s="34">
        <v>9466025</v>
      </c>
      <c r="G53" s="34">
        <v>18353936</v>
      </c>
      <c r="H53" s="34">
        <v>7631881</v>
      </c>
      <c r="I53" s="34">
        <v>1184818</v>
      </c>
      <c r="J53" s="34">
        <v>3457404</v>
      </c>
      <c r="K53" s="34">
        <v>11198116</v>
      </c>
      <c r="L53" s="34">
        <v>17634510</v>
      </c>
      <c r="M53" s="34">
        <v>17686301</v>
      </c>
      <c r="N53" s="37">
        <f t="shared" si="0"/>
        <v>132824959</v>
      </c>
    </row>
    <row r="54" spans="1:14" s="32" customFormat="1" ht="32.25" thickBot="1">
      <c r="A54" s="115" t="s">
        <v>119</v>
      </c>
      <c r="B54" s="34">
        <v>4764428</v>
      </c>
      <c r="C54" s="34" t="s">
        <v>107</v>
      </c>
      <c r="D54" s="34" t="s">
        <v>107</v>
      </c>
      <c r="E54" s="34">
        <v>222724</v>
      </c>
      <c r="F54" s="34">
        <v>57633233</v>
      </c>
      <c r="G54" s="34">
        <v>11000507</v>
      </c>
      <c r="H54" s="34">
        <v>21592426</v>
      </c>
      <c r="I54" s="34">
        <v>25814120</v>
      </c>
      <c r="J54" s="34" t="s">
        <v>107</v>
      </c>
      <c r="K54" s="34" t="s">
        <v>107</v>
      </c>
      <c r="L54" s="34" t="s">
        <v>107</v>
      </c>
      <c r="M54" s="34">
        <v>613589</v>
      </c>
      <c r="N54" s="37">
        <f t="shared" si="0"/>
        <v>121641027</v>
      </c>
    </row>
    <row r="55" spans="1:14" s="32" customFormat="1" ht="32.25" thickBot="1">
      <c r="A55" s="113" t="s">
        <v>164</v>
      </c>
      <c r="B55" s="34" t="s">
        <v>107</v>
      </c>
      <c r="C55" s="34" t="s">
        <v>107</v>
      </c>
      <c r="D55" s="34" t="s">
        <v>107</v>
      </c>
      <c r="E55" s="34">
        <v>6341858</v>
      </c>
      <c r="F55" s="34" t="s">
        <v>107</v>
      </c>
      <c r="G55" s="34">
        <v>96499998</v>
      </c>
      <c r="H55" s="34" t="s">
        <v>107</v>
      </c>
      <c r="I55" s="34" t="s">
        <v>107</v>
      </c>
      <c r="J55" s="34" t="s">
        <v>107</v>
      </c>
      <c r="K55" s="34" t="s">
        <v>107</v>
      </c>
      <c r="L55" s="34" t="s">
        <v>107</v>
      </c>
      <c r="M55" s="34" t="s">
        <v>107</v>
      </c>
      <c r="N55" s="37">
        <f t="shared" si="0"/>
        <v>102841856</v>
      </c>
    </row>
    <row r="56" spans="1:14" s="32" customFormat="1" ht="32.25" thickBot="1">
      <c r="A56" s="113" t="s">
        <v>137</v>
      </c>
      <c r="B56" s="34" t="s">
        <v>107</v>
      </c>
      <c r="C56" s="34" t="s">
        <v>107</v>
      </c>
      <c r="D56" s="34" t="s">
        <v>107</v>
      </c>
      <c r="E56" s="34">
        <v>1261961</v>
      </c>
      <c r="F56" s="34">
        <v>4098295</v>
      </c>
      <c r="G56" s="34">
        <v>97975</v>
      </c>
      <c r="H56" s="34">
        <v>7942629</v>
      </c>
      <c r="I56" s="34" t="s">
        <v>107</v>
      </c>
      <c r="J56" s="34" t="s">
        <v>107</v>
      </c>
      <c r="K56" s="34">
        <v>80658766</v>
      </c>
      <c r="L56" s="34">
        <v>622873</v>
      </c>
      <c r="M56" s="34">
        <v>640399</v>
      </c>
      <c r="N56" s="37">
        <f t="shared" si="0"/>
        <v>95322898</v>
      </c>
    </row>
    <row r="57" spans="1:14" s="32" customFormat="1" ht="32.25" thickBot="1">
      <c r="A57" s="113" t="s">
        <v>184</v>
      </c>
      <c r="B57" s="34" t="s">
        <v>107</v>
      </c>
      <c r="C57" s="34" t="s">
        <v>107</v>
      </c>
      <c r="D57" s="34">
        <v>78200000</v>
      </c>
      <c r="E57" s="34" t="s">
        <v>107</v>
      </c>
      <c r="F57" s="34" t="s">
        <v>107</v>
      </c>
      <c r="G57" s="34" t="s">
        <v>107</v>
      </c>
      <c r="H57" s="34" t="s">
        <v>107</v>
      </c>
      <c r="I57" s="34" t="s">
        <v>107</v>
      </c>
      <c r="J57" s="34" t="s">
        <v>107</v>
      </c>
      <c r="K57" s="34" t="s">
        <v>107</v>
      </c>
      <c r="L57" s="34" t="s">
        <v>107</v>
      </c>
      <c r="M57" s="34">
        <v>738674</v>
      </c>
      <c r="N57" s="37">
        <f t="shared" si="0"/>
        <v>78938674</v>
      </c>
    </row>
    <row r="58" spans="1:14" s="32" customFormat="1" ht="32.25" thickBot="1">
      <c r="A58" s="116" t="s">
        <v>174</v>
      </c>
      <c r="B58" s="34" t="s">
        <v>107</v>
      </c>
      <c r="C58" s="34" t="s">
        <v>107</v>
      </c>
      <c r="D58" s="34">
        <v>37400000</v>
      </c>
      <c r="E58" s="34" t="s">
        <v>107</v>
      </c>
      <c r="F58" s="34" t="s">
        <v>107</v>
      </c>
      <c r="G58" s="34" t="s">
        <v>107</v>
      </c>
      <c r="H58" s="34" t="s">
        <v>107</v>
      </c>
      <c r="I58" s="34" t="s">
        <v>107</v>
      </c>
      <c r="J58" s="34" t="s">
        <v>107</v>
      </c>
      <c r="K58" s="34">
        <v>39000000</v>
      </c>
      <c r="L58" s="34" t="s">
        <v>107</v>
      </c>
      <c r="M58" s="34" t="s">
        <v>107</v>
      </c>
      <c r="N58" s="37">
        <f t="shared" si="0"/>
        <v>76400000</v>
      </c>
    </row>
    <row r="59" spans="1:14" s="32" customFormat="1" ht="32.25" thickBot="1">
      <c r="A59" s="113" t="s">
        <v>127</v>
      </c>
      <c r="B59" s="34" t="s">
        <v>107</v>
      </c>
      <c r="C59" s="34" t="s">
        <v>107</v>
      </c>
      <c r="D59" s="34" t="s">
        <v>107</v>
      </c>
      <c r="E59" s="34" t="s">
        <v>107</v>
      </c>
      <c r="F59" s="34" t="s">
        <v>107</v>
      </c>
      <c r="G59" s="34" t="s">
        <v>107</v>
      </c>
      <c r="H59" s="34" t="s">
        <v>107</v>
      </c>
      <c r="I59" s="34">
        <v>74000000</v>
      </c>
      <c r="J59" s="34" t="s">
        <v>107</v>
      </c>
      <c r="K59" s="34" t="s">
        <v>107</v>
      </c>
      <c r="L59" s="34" t="s">
        <v>107</v>
      </c>
      <c r="M59" s="34" t="s">
        <v>107</v>
      </c>
      <c r="N59" s="37">
        <f t="shared" si="0"/>
        <v>74000000</v>
      </c>
    </row>
    <row r="60" spans="1:14" s="32" customFormat="1" ht="32.25" thickBot="1">
      <c r="A60" s="115" t="s">
        <v>124</v>
      </c>
      <c r="B60" s="34">
        <v>1097997</v>
      </c>
      <c r="C60" s="34">
        <v>5137192</v>
      </c>
      <c r="D60" s="34">
        <v>3791683</v>
      </c>
      <c r="E60" s="34">
        <v>3107098</v>
      </c>
      <c r="F60" s="34">
        <v>17326912</v>
      </c>
      <c r="G60" s="34" t="s">
        <v>107</v>
      </c>
      <c r="H60" s="34">
        <v>14411981</v>
      </c>
      <c r="I60" s="34" t="s">
        <v>107</v>
      </c>
      <c r="J60" s="34">
        <v>18000000</v>
      </c>
      <c r="K60" s="34">
        <v>9900959</v>
      </c>
      <c r="L60" s="34" t="s">
        <v>107</v>
      </c>
      <c r="M60" s="34">
        <v>489074</v>
      </c>
      <c r="N60" s="37">
        <f t="shared" si="0"/>
        <v>73262896</v>
      </c>
    </row>
    <row r="61" spans="1:14" s="32" customFormat="1" ht="32.25" thickBot="1">
      <c r="A61" s="113" t="s">
        <v>188</v>
      </c>
      <c r="B61" s="34" t="s">
        <v>107</v>
      </c>
      <c r="C61" s="34">
        <v>8036040</v>
      </c>
      <c r="D61" s="34" t="s">
        <v>107</v>
      </c>
      <c r="E61" s="34">
        <v>41476877</v>
      </c>
      <c r="F61" s="34">
        <v>2936766</v>
      </c>
      <c r="G61" s="34" t="s">
        <v>107</v>
      </c>
      <c r="H61" s="34">
        <v>10039517</v>
      </c>
      <c r="I61" s="34" t="s">
        <v>107</v>
      </c>
      <c r="J61" s="34" t="s">
        <v>107</v>
      </c>
      <c r="K61" s="34" t="s">
        <v>107</v>
      </c>
      <c r="L61" s="34">
        <v>7516181</v>
      </c>
      <c r="M61" s="34">
        <v>1913895</v>
      </c>
      <c r="N61" s="37">
        <f t="shared" si="0"/>
        <v>71919276</v>
      </c>
    </row>
    <row r="62" spans="1:14" s="32" customFormat="1" ht="32.25" thickBot="1">
      <c r="A62" s="113" t="s">
        <v>167</v>
      </c>
      <c r="B62" s="34">
        <v>7105021</v>
      </c>
      <c r="C62" s="34" t="s">
        <v>107</v>
      </c>
      <c r="D62" s="34" t="s">
        <v>107</v>
      </c>
      <c r="E62" s="34">
        <v>9000000</v>
      </c>
      <c r="F62" s="34">
        <v>17915000</v>
      </c>
      <c r="G62" s="34">
        <v>20428230</v>
      </c>
      <c r="H62" s="34">
        <v>9680720</v>
      </c>
      <c r="I62" s="34">
        <v>6900000</v>
      </c>
      <c r="J62" s="34" t="s">
        <v>107</v>
      </c>
      <c r="K62" s="34" t="s">
        <v>107</v>
      </c>
      <c r="L62" s="34" t="s">
        <v>107</v>
      </c>
      <c r="M62" s="34" t="s">
        <v>107</v>
      </c>
      <c r="N62" s="37">
        <f t="shared" si="0"/>
        <v>71028971</v>
      </c>
    </row>
    <row r="63" spans="1:14" s="32" customFormat="1" ht="32.25" thickBot="1">
      <c r="A63" s="113" t="s">
        <v>176</v>
      </c>
      <c r="B63" s="34">
        <v>7180336</v>
      </c>
      <c r="C63" s="34">
        <v>894964</v>
      </c>
      <c r="D63" s="34">
        <v>2513471</v>
      </c>
      <c r="E63" s="34">
        <v>1253533</v>
      </c>
      <c r="F63" s="34" t="s">
        <v>107</v>
      </c>
      <c r="G63" s="34">
        <v>1426571</v>
      </c>
      <c r="H63" s="34">
        <v>2131612</v>
      </c>
      <c r="I63" s="34">
        <v>12790232</v>
      </c>
      <c r="J63" s="34">
        <v>94508</v>
      </c>
      <c r="K63" s="34" t="s">
        <v>107</v>
      </c>
      <c r="L63" s="34">
        <v>18786</v>
      </c>
      <c r="M63" s="34">
        <v>37994087</v>
      </c>
      <c r="N63" s="37">
        <f t="shared" si="0"/>
        <v>66298100</v>
      </c>
    </row>
    <row r="64" spans="1:14" s="32" customFormat="1" ht="30.75" thickBot="1">
      <c r="A64" s="105" t="s">
        <v>197</v>
      </c>
      <c r="B64" s="104" t="s">
        <v>107</v>
      </c>
      <c r="C64" s="34" t="s">
        <v>107</v>
      </c>
      <c r="D64" s="34" t="s">
        <v>107</v>
      </c>
      <c r="E64" s="34" t="s">
        <v>107</v>
      </c>
      <c r="F64" s="34" t="s">
        <v>107</v>
      </c>
      <c r="G64" s="34" t="s">
        <v>107</v>
      </c>
      <c r="H64" s="34" t="s">
        <v>107</v>
      </c>
      <c r="I64" s="34" t="s">
        <v>107</v>
      </c>
      <c r="J64" s="34" t="s">
        <v>107</v>
      </c>
      <c r="K64" s="34" t="s">
        <v>107</v>
      </c>
      <c r="L64" s="34" t="s">
        <v>107</v>
      </c>
      <c r="M64" s="34">
        <v>32520000</v>
      </c>
      <c r="N64" s="37">
        <f t="shared" si="0"/>
        <v>32520000</v>
      </c>
    </row>
    <row r="65" spans="1:14" s="32" customFormat="1" ht="32.25" thickBot="1">
      <c r="A65" s="113" t="s">
        <v>147</v>
      </c>
      <c r="B65" s="34" t="s">
        <v>107</v>
      </c>
      <c r="C65" s="34" t="s">
        <v>107</v>
      </c>
      <c r="D65" s="34">
        <v>30700000</v>
      </c>
      <c r="E65" s="34" t="s">
        <v>107</v>
      </c>
      <c r="F65" s="34" t="s">
        <v>107</v>
      </c>
      <c r="G65" s="34" t="s">
        <v>107</v>
      </c>
      <c r="H65" s="34" t="s">
        <v>107</v>
      </c>
      <c r="I65" s="34" t="s">
        <v>107</v>
      </c>
      <c r="J65" s="34" t="s">
        <v>107</v>
      </c>
      <c r="K65" s="34" t="s">
        <v>107</v>
      </c>
      <c r="L65" s="34" t="s">
        <v>107</v>
      </c>
      <c r="M65" s="34" t="s">
        <v>107</v>
      </c>
      <c r="N65" s="37">
        <f t="shared" si="0"/>
        <v>30700000</v>
      </c>
    </row>
    <row r="66" spans="1:14" s="32" customFormat="1" ht="30.75" thickBot="1">
      <c r="A66" s="101" t="s">
        <v>198</v>
      </c>
      <c r="B66" s="53" t="s">
        <v>107</v>
      </c>
      <c r="C66" s="34" t="s">
        <v>107</v>
      </c>
      <c r="D66" s="34" t="s">
        <v>107</v>
      </c>
      <c r="E66" s="34" t="s">
        <v>107</v>
      </c>
      <c r="F66" s="34" t="s">
        <v>107</v>
      </c>
      <c r="G66" s="34">
        <v>28522838</v>
      </c>
      <c r="H66" s="34" t="s">
        <v>107</v>
      </c>
      <c r="I66" s="34" t="s">
        <v>107</v>
      </c>
      <c r="J66" s="34" t="s">
        <v>107</v>
      </c>
      <c r="K66" s="34" t="s">
        <v>107</v>
      </c>
      <c r="L66" s="34" t="s">
        <v>107</v>
      </c>
      <c r="M66" s="34" t="s">
        <v>107</v>
      </c>
      <c r="N66" s="37">
        <f t="shared" si="0"/>
        <v>28522838</v>
      </c>
    </row>
    <row r="67" spans="1:14" s="32" customFormat="1" ht="32.25" thickBot="1">
      <c r="A67" s="115" t="s">
        <v>125</v>
      </c>
      <c r="B67" s="34" t="s">
        <v>107</v>
      </c>
      <c r="C67" s="34" t="s">
        <v>107</v>
      </c>
      <c r="D67" s="34" t="s">
        <v>107</v>
      </c>
      <c r="E67" s="34" t="s">
        <v>107</v>
      </c>
      <c r="F67" s="34" t="s">
        <v>107</v>
      </c>
      <c r="G67" s="34">
        <v>71914</v>
      </c>
      <c r="H67" s="34">
        <v>254653</v>
      </c>
      <c r="I67" s="34">
        <v>242900</v>
      </c>
      <c r="J67" s="34" t="s">
        <v>107</v>
      </c>
      <c r="K67" s="34">
        <v>20987085</v>
      </c>
      <c r="L67" s="34">
        <v>225412</v>
      </c>
      <c r="M67" s="34">
        <v>8244</v>
      </c>
      <c r="N67" s="37">
        <f t="shared" si="0"/>
        <v>21790208</v>
      </c>
    </row>
    <row r="68" spans="1:14" s="32" customFormat="1" ht="30">
      <c r="A68" s="105" t="s">
        <v>199</v>
      </c>
      <c r="B68" s="104" t="s">
        <v>107</v>
      </c>
      <c r="C68" s="34" t="s">
        <v>107</v>
      </c>
      <c r="D68" s="34" t="s">
        <v>107</v>
      </c>
      <c r="E68" s="34" t="s">
        <v>107</v>
      </c>
      <c r="F68" s="34" t="s">
        <v>107</v>
      </c>
      <c r="G68" s="34" t="s">
        <v>107</v>
      </c>
      <c r="H68" s="34" t="s">
        <v>107</v>
      </c>
      <c r="I68" s="34" t="s">
        <v>107</v>
      </c>
      <c r="J68" s="34" t="s">
        <v>107</v>
      </c>
      <c r="K68" s="34" t="s">
        <v>107</v>
      </c>
      <c r="L68" s="34" t="s">
        <v>107</v>
      </c>
      <c r="M68" s="34">
        <v>20804351</v>
      </c>
      <c r="N68" s="37">
        <f t="shared" si="0"/>
        <v>20804351</v>
      </c>
    </row>
    <row r="69" spans="1:14" s="32" customFormat="1" ht="30.75" thickBot="1">
      <c r="A69" s="105" t="s">
        <v>179</v>
      </c>
      <c r="B69" s="104" t="s">
        <v>107</v>
      </c>
      <c r="C69" s="34" t="s">
        <v>107</v>
      </c>
      <c r="D69" s="34" t="s">
        <v>107</v>
      </c>
      <c r="E69" s="34">
        <v>168229</v>
      </c>
      <c r="F69" s="34" t="s">
        <v>107</v>
      </c>
      <c r="G69" s="34">
        <v>15966608</v>
      </c>
      <c r="H69" s="34" t="s">
        <v>107</v>
      </c>
      <c r="I69" s="34" t="s">
        <v>107</v>
      </c>
      <c r="J69" s="34" t="s">
        <v>107</v>
      </c>
      <c r="K69" s="34" t="s">
        <v>107</v>
      </c>
      <c r="L69" s="34" t="s">
        <v>107</v>
      </c>
      <c r="M69" s="34" t="s">
        <v>107</v>
      </c>
      <c r="N69" s="37">
        <f t="shared" si="0"/>
        <v>16134837</v>
      </c>
    </row>
    <row r="70" spans="1:14" s="32" customFormat="1" ht="32.25" thickBot="1">
      <c r="A70" s="113" t="s">
        <v>173</v>
      </c>
      <c r="B70" s="34">
        <v>7614973</v>
      </c>
      <c r="C70" s="34" t="s">
        <v>107</v>
      </c>
      <c r="D70" s="34" t="s">
        <v>107</v>
      </c>
      <c r="E70" s="34" t="s">
        <v>107</v>
      </c>
      <c r="F70" s="34" t="s">
        <v>107</v>
      </c>
      <c r="G70" s="34" t="s">
        <v>107</v>
      </c>
      <c r="H70" s="34">
        <v>1268581</v>
      </c>
      <c r="I70" s="34" t="s">
        <v>107</v>
      </c>
      <c r="J70" s="34">
        <v>2941641</v>
      </c>
      <c r="K70" s="34" t="s">
        <v>107</v>
      </c>
      <c r="L70" s="34" t="s">
        <v>107</v>
      </c>
      <c r="M70" s="34">
        <v>3251131</v>
      </c>
      <c r="N70" s="37">
        <f t="shared" ref="N70:N90" si="1">SUM(B70:M70)</f>
        <v>15076326</v>
      </c>
    </row>
    <row r="71" spans="1:14" s="32" customFormat="1" ht="32.25" thickBot="1">
      <c r="A71" s="113" t="s">
        <v>166</v>
      </c>
      <c r="B71" s="34" t="s">
        <v>107</v>
      </c>
      <c r="C71" s="34" t="s">
        <v>107</v>
      </c>
      <c r="D71" s="34" t="s">
        <v>107</v>
      </c>
      <c r="E71" s="34">
        <v>2702496</v>
      </c>
      <c r="F71" s="34">
        <v>35887</v>
      </c>
      <c r="G71" s="34">
        <v>4369000</v>
      </c>
      <c r="H71" s="34" t="s">
        <v>107</v>
      </c>
      <c r="I71" s="34" t="s">
        <v>107</v>
      </c>
      <c r="J71" s="34" t="s">
        <v>107</v>
      </c>
      <c r="K71" s="34">
        <v>372639</v>
      </c>
      <c r="L71" s="34">
        <v>6100000</v>
      </c>
      <c r="M71" s="34">
        <v>181164</v>
      </c>
      <c r="N71" s="37">
        <f t="shared" si="1"/>
        <v>13761186</v>
      </c>
    </row>
    <row r="72" spans="1:14" s="32" customFormat="1" ht="32.25" thickBot="1">
      <c r="A72" s="113" t="s">
        <v>165</v>
      </c>
      <c r="B72" s="34" t="s">
        <v>107</v>
      </c>
      <c r="C72" s="34" t="s">
        <v>107</v>
      </c>
      <c r="D72" s="34" t="s">
        <v>107</v>
      </c>
      <c r="E72" s="34" t="s">
        <v>107</v>
      </c>
      <c r="F72" s="34" t="s">
        <v>107</v>
      </c>
      <c r="G72" s="34" t="s">
        <v>107</v>
      </c>
      <c r="H72" s="34" t="s">
        <v>107</v>
      </c>
      <c r="I72" s="34" t="s">
        <v>107</v>
      </c>
      <c r="J72" s="34">
        <v>1502237</v>
      </c>
      <c r="K72" s="34">
        <v>9950000</v>
      </c>
      <c r="L72" s="34" t="s">
        <v>107</v>
      </c>
      <c r="M72" s="34" t="s">
        <v>107</v>
      </c>
      <c r="N72" s="37">
        <f t="shared" si="1"/>
        <v>11452237</v>
      </c>
    </row>
    <row r="73" spans="1:14" s="32" customFormat="1" ht="32.25" thickBot="1">
      <c r="A73" s="115" t="s">
        <v>126</v>
      </c>
      <c r="B73" s="34" t="s">
        <v>107</v>
      </c>
      <c r="C73" s="34" t="s">
        <v>107</v>
      </c>
      <c r="D73" s="34" t="s">
        <v>107</v>
      </c>
      <c r="E73" s="34" t="s">
        <v>107</v>
      </c>
      <c r="F73" s="34">
        <v>2850000</v>
      </c>
      <c r="G73" s="34">
        <v>8301344</v>
      </c>
      <c r="H73" s="34" t="s">
        <v>107</v>
      </c>
      <c r="I73" s="34" t="s">
        <v>107</v>
      </c>
      <c r="J73" s="34" t="s">
        <v>107</v>
      </c>
      <c r="K73" s="34" t="s">
        <v>107</v>
      </c>
      <c r="L73" s="34" t="s">
        <v>107</v>
      </c>
      <c r="M73" s="34" t="s">
        <v>107</v>
      </c>
      <c r="N73" s="37">
        <f t="shared" si="1"/>
        <v>11151344</v>
      </c>
    </row>
    <row r="74" spans="1:14" s="32" customFormat="1" ht="32.25" thickBot="1">
      <c r="A74" s="113" t="s">
        <v>153</v>
      </c>
      <c r="B74" s="34" t="s">
        <v>107</v>
      </c>
      <c r="C74" s="34" t="s">
        <v>107</v>
      </c>
      <c r="D74" s="34">
        <v>26952</v>
      </c>
      <c r="E74" s="34">
        <v>903324</v>
      </c>
      <c r="F74" s="34">
        <v>4905700</v>
      </c>
      <c r="G74" s="34" t="s">
        <v>107</v>
      </c>
      <c r="H74" s="34">
        <v>2564447</v>
      </c>
      <c r="I74" s="34">
        <v>26898</v>
      </c>
      <c r="J74" s="34" t="s">
        <v>107</v>
      </c>
      <c r="K74" s="34">
        <v>154056</v>
      </c>
      <c r="L74" s="34" t="s">
        <v>107</v>
      </c>
      <c r="M74" s="34">
        <v>1769786</v>
      </c>
      <c r="N74" s="37">
        <f t="shared" si="1"/>
        <v>10351163</v>
      </c>
    </row>
    <row r="75" spans="1:14" s="32" customFormat="1" ht="32.25" thickBot="1">
      <c r="A75" s="113" t="s">
        <v>186</v>
      </c>
      <c r="B75" s="34" t="s">
        <v>107</v>
      </c>
      <c r="C75" s="34" t="s">
        <v>107</v>
      </c>
      <c r="D75" s="34" t="s">
        <v>107</v>
      </c>
      <c r="E75" s="34" t="s">
        <v>107</v>
      </c>
      <c r="F75" s="34" t="s">
        <v>107</v>
      </c>
      <c r="G75" s="34">
        <v>1822804</v>
      </c>
      <c r="H75" s="34">
        <v>1815164</v>
      </c>
      <c r="I75" s="34">
        <v>2563591</v>
      </c>
      <c r="J75" s="34">
        <v>927026</v>
      </c>
      <c r="K75" s="34">
        <v>2787617</v>
      </c>
      <c r="L75" s="34" t="s">
        <v>107</v>
      </c>
      <c r="M75" s="34" t="s">
        <v>107</v>
      </c>
      <c r="N75" s="37">
        <f t="shared" si="1"/>
        <v>9916202</v>
      </c>
    </row>
    <row r="76" spans="1:14" s="32" customFormat="1" ht="32.25" thickBot="1">
      <c r="A76" s="113" t="s">
        <v>133</v>
      </c>
      <c r="B76" s="34" t="s">
        <v>107</v>
      </c>
      <c r="C76" s="34" t="s">
        <v>107</v>
      </c>
      <c r="D76" s="34" t="s">
        <v>107</v>
      </c>
      <c r="E76" s="34">
        <v>5491082</v>
      </c>
      <c r="F76" s="34" t="s">
        <v>107</v>
      </c>
      <c r="G76" s="34" t="s">
        <v>107</v>
      </c>
      <c r="H76" s="34">
        <v>1018152</v>
      </c>
      <c r="I76" s="34" t="s">
        <v>107</v>
      </c>
      <c r="J76" s="34" t="s">
        <v>107</v>
      </c>
      <c r="K76" s="34" t="s">
        <v>107</v>
      </c>
      <c r="L76" s="34" t="s">
        <v>107</v>
      </c>
      <c r="M76" s="34" t="s">
        <v>107</v>
      </c>
      <c r="N76" s="37">
        <f t="shared" si="1"/>
        <v>6509234</v>
      </c>
    </row>
    <row r="77" spans="1:14" s="32" customFormat="1" ht="32.25" thickBot="1">
      <c r="A77" s="113" t="s">
        <v>134</v>
      </c>
      <c r="B77" s="34" t="s">
        <v>107</v>
      </c>
      <c r="C77" s="34" t="s">
        <v>107</v>
      </c>
      <c r="D77" s="34" t="s">
        <v>107</v>
      </c>
      <c r="E77" s="34">
        <v>1471811</v>
      </c>
      <c r="F77" s="34" t="s">
        <v>107</v>
      </c>
      <c r="G77" s="34" t="s">
        <v>107</v>
      </c>
      <c r="H77" s="34" t="s">
        <v>107</v>
      </c>
      <c r="I77" s="34" t="s">
        <v>107</v>
      </c>
      <c r="J77" s="34" t="s">
        <v>107</v>
      </c>
      <c r="K77" s="34">
        <v>2666090</v>
      </c>
      <c r="L77" s="34" t="s">
        <v>107</v>
      </c>
      <c r="M77" s="34">
        <v>684790</v>
      </c>
      <c r="N77" s="37">
        <f t="shared" si="1"/>
        <v>4822691</v>
      </c>
    </row>
    <row r="78" spans="1:14" s="32" customFormat="1" ht="32.25" thickBot="1">
      <c r="A78" s="113" t="s">
        <v>150</v>
      </c>
      <c r="B78" s="34" t="s">
        <v>107</v>
      </c>
      <c r="C78" s="34" t="s">
        <v>107</v>
      </c>
      <c r="D78" s="34" t="s">
        <v>107</v>
      </c>
      <c r="E78" s="34" t="s">
        <v>107</v>
      </c>
      <c r="F78" s="34" t="s">
        <v>107</v>
      </c>
      <c r="G78" s="34">
        <v>4400000</v>
      </c>
      <c r="H78" s="34" t="s">
        <v>107</v>
      </c>
      <c r="I78" s="34" t="s">
        <v>107</v>
      </c>
      <c r="J78" s="34" t="s">
        <v>107</v>
      </c>
      <c r="K78" s="34" t="s">
        <v>107</v>
      </c>
      <c r="L78" s="34" t="s">
        <v>107</v>
      </c>
      <c r="M78" s="34" t="s">
        <v>107</v>
      </c>
      <c r="N78" s="37">
        <f t="shared" si="1"/>
        <v>4400000</v>
      </c>
    </row>
    <row r="79" spans="1:14" s="32" customFormat="1" ht="30.75" thickBot="1">
      <c r="A79" s="101" t="s">
        <v>200</v>
      </c>
      <c r="B79" s="53" t="s">
        <v>107</v>
      </c>
      <c r="C79" s="34" t="s">
        <v>107</v>
      </c>
      <c r="D79" s="34" t="s">
        <v>107</v>
      </c>
      <c r="E79" s="34" t="s">
        <v>107</v>
      </c>
      <c r="F79" s="34">
        <v>4157819</v>
      </c>
      <c r="G79" s="34" t="s">
        <v>107</v>
      </c>
      <c r="H79" s="34" t="s">
        <v>107</v>
      </c>
      <c r="I79" s="34" t="s">
        <v>107</v>
      </c>
      <c r="J79" s="34" t="s">
        <v>107</v>
      </c>
      <c r="K79" s="34" t="s">
        <v>107</v>
      </c>
      <c r="L79" s="34" t="s">
        <v>107</v>
      </c>
      <c r="M79" s="34" t="s">
        <v>107</v>
      </c>
      <c r="N79" s="37">
        <f t="shared" si="1"/>
        <v>4157819</v>
      </c>
    </row>
    <row r="80" spans="1:14" s="32" customFormat="1" ht="32.25" thickBot="1">
      <c r="A80" s="113" t="s">
        <v>183</v>
      </c>
      <c r="B80" s="34" t="s">
        <v>107</v>
      </c>
      <c r="C80" s="34" t="s">
        <v>107</v>
      </c>
      <c r="D80" s="34" t="s">
        <v>107</v>
      </c>
      <c r="E80" s="34" t="s">
        <v>107</v>
      </c>
      <c r="F80" s="34" t="s">
        <v>107</v>
      </c>
      <c r="G80" s="34" t="s">
        <v>107</v>
      </c>
      <c r="H80" s="34" t="s">
        <v>107</v>
      </c>
      <c r="I80" s="34" t="s">
        <v>107</v>
      </c>
      <c r="J80" s="34">
        <v>154023</v>
      </c>
      <c r="K80" s="34">
        <v>729596</v>
      </c>
      <c r="L80" s="34">
        <v>72476</v>
      </c>
      <c r="M80" s="34">
        <v>1634329</v>
      </c>
      <c r="N80" s="37">
        <f t="shared" si="1"/>
        <v>2590424</v>
      </c>
    </row>
    <row r="81" spans="1:14" s="32" customFormat="1" ht="30.75" thickBot="1">
      <c r="A81" s="101" t="s">
        <v>201</v>
      </c>
      <c r="B81" s="53" t="s">
        <v>107</v>
      </c>
      <c r="C81" s="34" t="s">
        <v>107</v>
      </c>
      <c r="D81" s="34" t="s">
        <v>107</v>
      </c>
      <c r="E81" s="34" t="s">
        <v>107</v>
      </c>
      <c r="F81" s="34" t="s">
        <v>107</v>
      </c>
      <c r="G81" s="34" t="s">
        <v>107</v>
      </c>
      <c r="H81" s="34">
        <v>2037849</v>
      </c>
      <c r="I81" s="34" t="s">
        <v>107</v>
      </c>
      <c r="J81" s="34" t="s">
        <v>107</v>
      </c>
      <c r="K81" s="34">
        <v>239406</v>
      </c>
      <c r="L81" s="34" t="s">
        <v>107</v>
      </c>
      <c r="M81" s="34" t="s">
        <v>107</v>
      </c>
      <c r="N81" s="37">
        <f t="shared" si="1"/>
        <v>2277255</v>
      </c>
    </row>
    <row r="82" spans="1:14" s="32" customFormat="1" ht="32.25" thickBot="1">
      <c r="A82" s="113" t="s">
        <v>185</v>
      </c>
      <c r="B82" s="34">
        <v>326674</v>
      </c>
      <c r="C82" s="34" t="s">
        <v>107</v>
      </c>
      <c r="D82" s="34" t="s">
        <v>107</v>
      </c>
      <c r="E82" s="34">
        <v>94734</v>
      </c>
      <c r="F82" s="34" t="s">
        <v>107</v>
      </c>
      <c r="G82" s="34" t="s">
        <v>107</v>
      </c>
      <c r="H82" s="34" t="s">
        <v>107</v>
      </c>
      <c r="I82" s="34" t="s">
        <v>107</v>
      </c>
      <c r="J82" s="34" t="s">
        <v>107</v>
      </c>
      <c r="K82" s="34">
        <v>294793</v>
      </c>
      <c r="L82" s="34">
        <v>128802</v>
      </c>
      <c r="M82" s="34" t="s">
        <v>107</v>
      </c>
      <c r="N82" s="37">
        <f t="shared" si="1"/>
        <v>845003</v>
      </c>
    </row>
    <row r="83" spans="1:14" s="32" customFormat="1" ht="30.75" thickBot="1">
      <c r="A83" s="101" t="s">
        <v>202</v>
      </c>
      <c r="B83" s="53" t="s">
        <v>107</v>
      </c>
      <c r="C83" s="34" t="s">
        <v>107</v>
      </c>
      <c r="D83" s="34" t="s">
        <v>107</v>
      </c>
      <c r="E83" s="34" t="s">
        <v>107</v>
      </c>
      <c r="F83" s="34" t="s">
        <v>107</v>
      </c>
      <c r="G83" s="34" t="s">
        <v>107</v>
      </c>
      <c r="H83" s="34" t="s">
        <v>107</v>
      </c>
      <c r="I83" s="34" t="s">
        <v>107</v>
      </c>
      <c r="J83" s="34">
        <v>431552</v>
      </c>
      <c r="K83" s="34" t="s">
        <v>107</v>
      </c>
      <c r="L83" s="34" t="s">
        <v>107</v>
      </c>
      <c r="M83" s="34" t="s">
        <v>107</v>
      </c>
      <c r="N83" s="37">
        <f t="shared" si="1"/>
        <v>431552</v>
      </c>
    </row>
    <row r="84" spans="1:14" s="32" customFormat="1" ht="32.25" thickBot="1">
      <c r="A84" s="115" t="s">
        <v>121</v>
      </c>
      <c r="B84" s="34">
        <v>312603</v>
      </c>
      <c r="C84" s="34" t="s">
        <v>107</v>
      </c>
      <c r="D84" s="34" t="s">
        <v>107</v>
      </c>
      <c r="E84" s="34" t="s">
        <v>107</v>
      </c>
      <c r="F84" s="34" t="s">
        <v>107</v>
      </c>
      <c r="G84" s="34" t="s">
        <v>107</v>
      </c>
      <c r="H84" s="34" t="s">
        <v>107</v>
      </c>
      <c r="I84" s="34" t="s">
        <v>107</v>
      </c>
      <c r="J84" s="34" t="s">
        <v>107</v>
      </c>
      <c r="K84" s="34" t="s">
        <v>107</v>
      </c>
      <c r="L84" s="34" t="s">
        <v>107</v>
      </c>
      <c r="M84" s="34" t="s">
        <v>107</v>
      </c>
      <c r="N84" s="37">
        <f t="shared" si="1"/>
        <v>312603</v>
      </c>
    </row>
    <row r="85" spans="1:14" s="32" customFormat="1" ht="30.75" thickBot="1">
      <c r="A85" s="102" t="s">
        <v>203</v>
      </c>
      <c r="B85" s="53" t="s">
        <v>107</v>
      </c>
      <c r="C85" s="34" t="s">
        <v>107</v>
      </c>
      <c r="D85" s="34" t="s">
        <v>107</v>
      </c>
      <c r="E85" s="34" t="s">
        <v>107</v>
      </c>
      <c r="F85" s="34" t="s">
        <v>107</v>
      </c>
      <c r="G85" s="34" t="s">
        <v>107</v>
      </c>
      <c r="H85" s="34" t="s">
        <v>107</v>
      </c>
      <c r="I85" s="34" t="s">
        <v>107</v>
      </c>
      <c r="J85" s="34" t="s">
        <v>107</v>
      </c>
      <c r="K85" s="34" t="s">
        <v>107</v>
      </c>
      <c r="L85" s="34" t="s">
        <v>107</v>
      </c>
      <c r="M85" s="34">
        <v>221806</v>
      </c>
      <c r="N85" s="37">
        <f t="shared" si="1"/>
        <v>221806</v>
      </c>
    </row>
    <row r="86" spans="1:14" s="32" customFormat="1" ht="30.75" thickBot="1">
      <c r="A86" s="102" t="s">
        <v>204</v>
      </c>
      <c r="B86" s="53" t="s">
        <v>107</v>
      </c>
      <c r="C86" s="34" t="s">
        <v>107</v>
      </c>
      <c r="D86" s="34" t="s">
        <v>107</v>
      </c>
      <c r="E86" s="34" t="s">
        <v>107</v>
      </c>
      <c r="F86" s="34" t="s">
        <v>107</v>
      </c>
      <c r="G86" s="34" t="s">
        <v>107</v>
      </c>
      <c r="H86" s="34" t="s">
        <v>107</v>
      </c>
      <c r="I86" s="34" t="s">
        <v>107</v>
      </c>
      <c r="J86" s="34" t="s">
        <v>107</v>
      </c>
      <c r="K86" s="34" t="s">
        <v>107</v>
      </c>
      <c r="L86" s="34" t="s">
        <v>107</v>
      </c>
      <c r="M86" s="34">
        <v>108960</v>
      </c>
      <c r="N86" s="37">
        <f t="shared" si="1"/>
        <v>108960</v>
      </c>
    </row>
    <row r="87" spans="1:14" s="32" customFormat="1" ht="30.75" thickBot="1">
      <c r="A87" s="103" t="s">
        <v>205</v>
      </c>
      <c r="B87" s="104" t="s">
        <v>107</v>
      </c>
      <c r="C87" s="34" t="s">
        <v>107</v>
      </c>
      <c r="D87" s="34" t="s">
        <v>107</v>
      </c>
      <c r="E87" s="34" t="s">
        <v>107</v>
      </c>
      <c r="F87" s="34" t="s">
        <v>107</v>
      </c>
      <c r="G87" s="34" t="s">
        <v>107</v>
      </c>
      <c r="H87" s="34" t="s">
        <v>107</v>
      </c>
      <c r="I87" s="34">
        <v>56628</v>
      </c>
      <c r="J87" s="34" t="s">
        <v>107</v>
      </c>
      <c r="K87" s="34" t="s">
        <v>107</v>
      </c>
      <c r="L87" s="34" t="s">
        <v>107</v>
      </c>
      <c r="M87" s="34" t="s">
        <v>107</v>
      </c>
      <c r="N87" s="37">
        <f t="shared" si="1"/>
        <v>56628</v>
      </c>
    </row>
    <row r="88" spans="1:14" s="32" customFormat="1" ht="32.25" thickBot="1">
      <c r="A88" s="113" t="s">
        <v>131</v>
      </c>
      <c r="B88" s="34" t="s">
        <v>107</v>
      </c>
      <c r="C88" s="34" t="s">
        <v>107</v>
      </c>
      <c r="D88" s="34" t="s">
        <v>107</v>
      </c>
      <c r="E88" s="34" t="s">
        <v>107</v>
      </c>
      <c r="F88" s="34" t="s">
        <v>107</v>
      </c>
      <c r="G88" s="34">
        <v>11989</v>
      </c>
      <c r="H88" s="34" t="s">
        <v>107</v>
      </c>
      <c r="I88" s="34" t="s">
        <v>107</v>
      </c>
      <c r="J88" s="34" t="s">
        <v>107</v>
      </c>
      <c r="K88" s="34" t="s">
        <v>107</v>
      </c>
      <c r="L88" s="34" t="s">
        <v>107</v>
      </c>
      <c r="M88" s="34" t="s">
        <v>107</v>
      </c>
      <c r="N88" s="37">
        <f t="shared" si="1"/>
        <v>11989</v>
      </c>
    </row>
    <row r="89" spans="1:14" s="32" customFormat="1" ht="30.75" thickBot="1">
      <c r="A89" s="105" t="s">
        <v>206</v>
      </c>
      <c r="B89" s="104" t="s">
        <v>107</v>
      </c>
      <c r="C89" s="34" t="s">
        <v>107</v>
      </c>
      <c r="D89" s="34" t="s">
        <v>107</v>
      </c>
      <c r="E89" s="34" t="s">
        <v>107</v>
      </c>
      <c r="F89" s="34" t="s">
        <v>107</v>
      </c>
      <c r="G89" s="34" t="s">
        <v>107</v>
      </c>
      <c r="H89" s="34" t="s">
        <v>107</v>
      </c>
      <c r="I89" s="34" t="s">
        <v>107</v>
      </c>
      <c r="J89" s="34">
        <v>9514</v>
      </c>
      <c r="K89" s="34" t="s">
        <v>107</v>
      </c>
      <c r="L89" s="34" t="s">
        <v>107</v>
      </c>
      <c r="M89" s="34" t="s">
        <v>107</v>
      </c>
      <c r="N89" s="37">
        <f t="shared" si="1"/>
        <v>9514</v>
      </c>
    </row>
    <row r="90" spans="1:14" s="32" customFormat="1" ht="32.25" thickBot="1">
      <c r="A90" s="113" t="s">
        <v>195</v>
      </c>
      <c r="B90" s="34" t="s">
        <v>107</v>
      </c>
      <c r="C90" s="34" t="s">
        <v>107</v>
      </c>
      <c r="D90" s="34" t="s">
        <v>107</v>
      </c>
      <c r="E90" s="34" t="s">
        <v>107</v>
      </c>
      <c r="F90" s="34" t="s">
        <v>107</v>
      </c>
      <c r="G90" s="34" t="s">
        <v>107</v>
      </c>
      <c r="H90" s="34">
        <v>468482000</v>
      </c>
      <c r="I90" s="34" t="s">
        <v>107</v>
      </c>
      <c r="J90" s="34" t="s">
        <v>107</v>
      </c>
      <c r="K90" s="34" t="s">
        <v>107</v>
      </c>
      <c r="L90" s="34" t="s">
        <v>107</v>
      </c>
      <c r="M90" s="34" t="s">
        <v>107</v>
      </c>
      <c r="N90" s="37">
        <f t="shared" si="1"/>
        <v>468482000</v>
      </c>
    </row>
    <row r="91" spans="1:14" s="32" customFormat="1" ht="30.75" thickBot="1">
      <c r="A91" s="107" t="s">
        <v>34</v>
      </c>
      <c r="B91" s="106">
        <f>SUM(B6:B90)</f>
        <v>30857849915</v>
      </c>
      <c r="C91" s="89">
        <f t="shared" ref="C91:M91" si="2">SUM(C6:C90)</f>
        <v>33628925708</v>
      </c>
      <c r="D91" s="89">
        <f t="shared" si="2"/>
        <v>30839724881</v>
      </c>
      <c r="E91" s="89">
        <f t="shared" si="2"/>
        <v>28863667232</v>
      </c>
      <c r="F91" s="89">
        <f t="shared" si="2"/>
        <v>42179939842</v>
      </c>
      <c r="G91" s="89">
        <f t="shared" si="2"/>
        <v>35717806847</v>
      </c>
      <c r="H91" s="89">
        <f t="shared" si="2"/>
        <v>30322922316</v>
      </c>
      <c r="I91" s="89">
        <f t="shared" si="2"/>
        <v>32117093524</v>
      </c>
      <c r="J91" s="89">
        <f t="shared" si="2"/>
        <v>20874901378</v>
      </c>
      <c r="K91" s="89">
        <f t="shared" si="2"/>
        <v>24948235428</v>
      </c>
      <c r="L91" s="89">
        <f t="shared" si="2"/>
        <v>28440268429</v>
      </c>
      <c r="M91" s="89">
        <f t="shared" si="2"/>
        <v>28204198561</v>
      </c>
      <c r="N91" s="89">
        <f>SUM(N6:N90)</f>
        <v>366995534061</v>
      </c>
    </row>
    <row r="92" spans="1:14">
      <c r="A92" s="108"/>
    </row>
    <row r="93" spans="1:14" s="9" customFormat="1" ht="45" customHeight="1">
      <c r="A93" s="399" t="s">
        <v>54</v>
      </c>
      <c r="B93" s="399"/>
      <c r="C93" s="399"/>
    </row>
  </sheetData>
  <mergeCells count="4">
    <mergeCell ref="A1:N1"/>
    <mergeCell ref="A3:B3"/>
    <mergeCell ref="C3:G3"/>
    <mergeCell ref="A93:C9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160"/>
  <sheetViews>
    <sheetView rightToLeft="1" zoomScale="90" zoomScaleNormal="90" workbookViewId="0">
      <selection activeCell="A79" sqref="A79:F79"/>
    </sheetView>
  </sheetViews>
  <sheetFormatPr defaultColWidth="9.140625" defaultRowHeight="15.75"/>
  <cols>
    <col min="1" max="1" width="46.7109375" style="2" bestFit="1" customWidth="1"/>
    <col min="2" max="2" width="24.85546875" style="2" customWidth="1"/>
    <col min="3" max="3" width="25" style="2" customWidth="1"/>
    <col min="4" max="4" width="31.140625" style="2" customWidth="1"/>
    <col min="5" max="5" width="32.5703125" style="2" customWidth="1"/>
    <col min="6" max="6" width="27.42578125" style="2" customWidth="1"/>
    <col min="7" max="7" width="35.5703125" style="2" customWidth="1"/>
    <col min="8" max="8" width="23.85546875" style="2" customWidth="1"/>
    <col min="9" max="9" width="30.7109375" style="2" customWidth="1"/>
    <col min="10" max="10" width="35.85546875" style="2" customWidth="1"/>
    <col min="11" max="11" width="35.42578125" style="2" customWidth="1"/>
    <col min="12" max="12" width="26.5703125" style="87" customWidth="1"/>
    <col min="13" max="13" width="27.140625" style="2" customWidth="1"/>
    <col min="14" max="14" width="23.28515625" style="2" customWidth="1"/>
    <col min="15" max="15" width="28.28515625" style="2" customWidth="1"/>
    <col min="16" max="16" width="32.140625" style="2" customWidth="1"/>
    <col min="17" max="17" width="29.140625" style="2" customWidth="1"/>
    <col min="18" max="18" width="30.7109375" style="2" customWidth="1"/>
    <col min="19" max="19" width="23" style="2" customWidth="1"/>
    <col min="20" max="20" width="26.7109375" style="2" customWidth="1"/>
    <col min="21" max="21" width="31.5703125" style="2" customWidth="1"/>
    <col min="22" max="22" width="9.140625" style="2" customWidth="1"/>
    <col min="23" max="23" width="16.5703125" style="2" customWidth="1"/>
    <col min="24" max="16384" width="9.140625" style="2"/>
  </cols>
  <sheetData>
    <row r="1" spans="1:23" s="94" customFormat="1" ht="51.75" customHeight="1">
      <c r="A1" s="396" t="s">
        <v>207</v>
      </c>
      <c r="B1" s="396"/>
      <c r="C1" s="396"/>
      <c r="D1" s="396"/>
      <c r="E1" s="396"/>
      <c r="F1" s="396"/>
      <c r="G1" s="396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3" s="87" customFormat="1">
      <c r="A2" s="411" t="s">
        <v>191</v>
      </c>
      <c r="B2" s="411"/>
      <c r="C2" s="411" t="s">
        <v>190</v>
      </c>
      <c r="D2" s="411"/>
      <c r="E2" s="411"/>
      <c r="F2" s="411"/>
      <c r="G2" s="411"/>
    </row>
    <row r="3" spans="1:23" s="87" customFormat="1" ht="16.5" thickBot="1">
      <c r="A3" s="88"/>
      <c r="B3" s="88"/>
      <c r="C3" s="88"/>
      <c r="D3" s="88"/>
      <c r="E3" s="88"/>
      <c r="F3" s="88"/>
      <c r="G3" s="88"/>
    </row>
    <row r="4" spans="1:23" s="3" customFormat="1" ht="82.5" customHeight="1" thickBot="1">
      <c r="A4" s="117" t="s">
        <v>278</v>
      </c>
      <c r="B4" s="222" t="s">
        <v>289</v>
      </c>
      <c r="C4" s="223" t="s">
        <v>291</v>
      </c>
      <c r="D4" s="223" t="s">
        <v>290</v>
      </c>
      <c r="E4" s="223" t="s">
        <v>292</v>
      </c>
      <c r="F4" s="223" t="s">
        <v>293</v>
      </c>
      <c r="G4" s="223" t="s">
        <v>294</v>
      </c>
      <c r="H4" s="223" t="s">
        <v>295</v>
      </c>
      <c r="I4" s="223" t="s">
        <v>296</v>
      </c>
      <c r="J4" s="223" t="s">
        <v>297</v>
      </c>
      <c r="K4" s="223" t="s">
        <v>298</v>
      </c>
      <c r="L4" s="223" t="s">
        <v>299</v>
      </c>
      <c r="M4" s="223" t="s">
        <v>300</v>
      </c>
      <c r="N4" s="223" t="s">
        <v>301</v>
      </c>
      <c r="O4" s="223" t="s">
        <v>302</v>
      </c>
      <c r="P4" s="223" t="s">
        <v>303</v>
      </c>
      <c r="Q4" s="223" t="s">
        <v>304</v>
      </c>
      <c r="R4" s="223" t="s">
        <v>305</v>
      </c>
      <c r="S4" s="223" t="s">
        <v>306</v>
      </c>
      <c r="T4" s="223" t="s">
        <v>307</v>
      </c>
      <c r="U4" s="8" t="s">
        <v>279</v>
      </c>
    </row>
    <row r="5" spans="1:23" s="3" customFormat="1" ht="36">
      <c r="A5" s="118" t="s">
        <v>60</v>
      </c>
      <c r="B5" s="93">
        <v>17223170064</v>
      </c>
      <c r="C5" s="93">
        <v>5989069156</v>
      </c>
      <c r="D5" s="93">
        <v>95308516</v>
      </c>
      <c r="E5" s="93">
        <v>3556592414</v>
      </c>
      <c r="F5" s="93">
        <v>2866152874</v>
      </c>
      <c r="G5" s="93">
        <v>398956751</v>
      </c>
      <c r="H5" s="93">
        <v>3490748036</v>
      </c>
      <c r="I5" s="93">
        <v>17934635</v>
      </c>
      <c r="J5" s="93">
        <v>1364063889</v>
      </c>
      <c r="K5" s="93">
        <v>5232126</v>
      </c>
      <c r="L5" s="95">
        <v>75981476</v>
      </c>
      <c r="M5" s="93">
        <v>19649367</v>
      </c>
      <c r="N5" s="93">
        <v>147850000</v>
      </c>
      <c r="O5" s="93">
        <v>93225778</v>
      </c>
      <c r="P5" s="93">
        <v>172466884</v>
      </c>
      <c r="Q5" s="93">
        <v>19855</v>
      </c>
      <c r="R5" s="93" t="s">
        <v>107</v>
      </c>
      <c r="S5" s="93">
        <v>22000000</v>
      </c>
      <c r="T5" s="93">
        <v>11995034455</v>
      </c>
      <c r="U5" s="110">
        <f t="shared" ref="U5:U36" si="0">SUM(B5:T5)</f>
        <v>47533456276</v>
      </c>
      <c r="W5" s="96"/>
    </row>
    <row r="6" spans="1:23" s="3" customFormat="1" ht="36">
      <c r="A6" s="119" t="s">
        <v>61</v>
      </c>
      <c r="B6" s="93">
        <v>5899307240</v>
      </c>
      <c r="C6" s="93">
        <v>2280882042</v>
      </c>
      <c r="D6" s="93">
        <v>9978415978</v>
      </c>
      <c r="E6" s="93">
        <v>369636051</v>
      </c>
      <c r="F6" s="93">
        <v>1502218084</v>
      </c>
      <c r="G6" s="93">
        <v>2052632684</v>
      </c>
      <c r="H6" s="93">
        <v>879318200</v>
      </c>
      <c r="I6" s="93">
        <v>66574582</v>
      </c>
      <c r="J6" s="93">
        <v>262557806</v>
      </c>
      <c r="K6" s="93">
        <v>7542244</v>
      </c>
      <c r="L6" s="95">
        <v>1323275867</v>
      </c>
      <c r="M6" s="93">
        <v>714184</v>
      </c>
      <c r="N6" s="93" t="s">
        <v>107</v>
      </c>
      <c r="O6" s="93">
        <v>785166</v>
      </c>
      <c r="P6" s="93">
        <v>3200000</v>
      </c>
      <c r="Q6" s="93">
        <v>75775625</v>
      </c>
      <c r="R6" s="93" t="s">
        <v>107</v>
      </c>
      <c r="S6" s="93" t="s">
        <v>107</v>
      </c>
      <c r="T6" s="93">
        <v>15371711498</v>
      </c>
      <c r="U6" s="110">
        <f t="shared" si="0"/>
        <v>40074547251</v>
      </c>
      <c r="W6" s="96"/>
    </row>
    <row r="7" spans="1:23" s="3" customFormat="1" ht="36">
      <c r="A7" s="120" t="s">
        <v>208</v>
      </c>
      <c r="B7" s="93">
        <v>1231730808</v>
      </c>
      <c r="C7" s="93">
        <v>4362954661</v>
      </c>
      <c r="D7" s="93">
        <v>630031765</v>
      </c>
      <c r="E7" s="93">
        <v>5113572826</v>
      </c>
      <c r="F7" s="93">
        <v>2866641980</v>
      </c>
      <c r="G7" s="93">
        <v>1475497151</v>
      </c>
      <c r="H7" s="93">
        <v>1240265459</v>
      </c>
      <c r="I7" s="93">
        <v>918671126</v>
      </c>
      <c r="J7" s="93">
        <v>1704482097</v>
      </c>
      <c r="K7" s="93">
        <v>2581547365</v>
      </c>
      <c r="L7" s="95">
        <v>37024763</v>
      </c>
      <c r="M7" s="93">
        <v>609805105</v>
      </c>
      <c r="N7" s="93" t="s">
        <v>107</v>
      </c>
      <c r="O7" s="93">
        <v>42850000</v>
      </c>
      <c r="P7" s="93">
        <v>9899450</v>
      </c>
      <c r="Q7" s="93">
        <v>13446770</v>
      </c>
      <c r="R7" s="93">
        <v>8060736</v>
      </c>
      <c r="S7" s="93" t="s">
        <v>107</v>
      </c>
      <c r="T7" s="93">
        <v>14259512622</v>
      </c>
      <c r="U7" s="110">
        <f t="shared" si="0"/>
        <v>37105994684</v>
      </c>
      <c r="W7" s="96"/>
    </row>
    <row r="8" spans="1:23" s="3" customFormat="1" ht="36">
      <c r="A8" s="120" t="s">
        <v>64</v>
      </c>
      <c r="B8" s="93">
        <v>8341643442</v>
      </c>
      <c r="C8" s="93">
        <v>1236785682</v>
      </c>
      <c r="D8" s="93">
        <v>46150603</v>
      </c>
      <c r="E8" s="93">
        <v>12446426</v>
      </c>
      <c r="F8" s="93">
        <v>111534772</v>
      </c>
      <c r="G8" s="93">
        <v>433978870</v>
      </c>
      <c r="H8" s="93">
        <v>663754</v>
      </c>
      <c r="I8" s="93">
        <v>4624850</v>
      </c>
      <c r="J8" s="93">
        <v>178856561</v>
      </c>
      <c r="K8" s="93">
        <v>2092891</v>
      </c>
      <c r="L8" s="95" t="s">
        <v>107</v>
      </c>
      <c r="M8" s="93" t="s">
        <v>107</v>
      </c>
      <c r="N8" s="93" t="s">
        <v>107</v>
      </c>
      <c r="O8" s="93">
        <v>603974</v>
      </c>
      <c r="P8" s="93" t="s">
        <v>107</v>
      </c>
      <c r="Q8" s="93" t="s">
        <v>107</v>
      </c>
      <c r="R8" s="93" t="s">
        <v>107</v>
      </c>
      <c r="S8" s="93">
        <v>24992238</v>
      </c>
      <c r="T8" s="93">
        <v>3285755626</v>
      </c>
      <c r="U8" s="110">
        <f t="shared" si="0"/>
        <v>13680129689</v>
      </c>
      <c r="W8" s="96"/>
    </row>
    <row r="9" spans="1:23" s="3" customFormat="1" ht="36">
      <c r="A9" s="120" t="s">
        <v>63</v>
      </c>
      <c r="B9" s="93">
        <v>444601690</v>
      </c>
      <c r="C9" s="93">
        <v>2124921049</v>
      </c>
      <c r="D9" s="93">
        <v>267144746</v>
      </c>
      <c r="E9" s="93">
        <v>462475681</v>
      </c>
      <c r="F9" s="93">
        <v>154379045</v>
      </c>
      <c r="G9" s="93">
        <v>716559767</v>
      </c>
      <c r="H9" s="93">
        <v>60340045</v>
      </c>
      <c r="I9" s="93">
        <v>57643779</v>
      </c>
      <c r="J9" s="93">
        <v>458831804</v>
      </c>
      <c r="K9" s="93">
        <v>143550264</v>
      </c>
      <c r="L9" s="95">
        <v>14250000</v>
      </c>
      <c r="M9" s="93" t="s">
        <v>107</v>
      </c>
      <c r="N9" s="93" t="s">
        <v>107</v>
      </c>
      <c r="O9" s="93" t="s">
        <v>107</v>
      </c>
      <c r="P9" s="93" t="s">
        <v>107</v>
      </c>
      <c r="Q9" s="93">
        <v>352099</v>
      </c>
      <c r="R9" s="93" t="s">
        <v>107</v>
      </c>
      <c r="S9" s="93" t="s">
        <v>107</v>
      </c>
      <c r="T9" s="93">
        <v>3937219838</v>
      </c>
      <c r="U9" s="110">
        <f t="shared" si="0"/>
        <v>8842269807</v>
      </c>
      <c r="W9" s="96"/>
    </row>
    <row r="10" spans="1:23" s="3" customFormat="1" ht="36">
      <c r="A10" s="120" t="s">
        <v>62</v>
      </c>
      <c r="B10" s="93">
        <v>353363497</v>
      </c>
      <c r="C10" s="93">
        <v>1173065820</v>
      </c>
      <c r="D10" s="93">
        <v>99680000</v>
      </c>
      <c r="E10" s="93">
        <v>296029029</v>
      </c>
      <c r="F10" s="93">
        <v>2174019402</v>
      </c>
      <c r="G10" s="93">
        <v>104895880</v>
      </c>
      <c r="H10" s="93" t="s">
        <v>107</v>
      </c>
      <c r="I10" s="93" t="s">
        <v>107</v>
      </c>
      <c r="J10" s="93">
        <v>23403853</v>
      </c>
      <c r="K10" s="93" t="s">
        <v>107</v>
      </c>
      <c r="L10" s="95" t="s">
        <v>107</v>
      </c>
      <c r="M10" s="93">
        <v>22096224</v>
      </c>
      <c r="N10" s="93" t="s">
        <v>107</v>
      </c>
      <c r="O10" s="93">
        <v>90500000</v>
      </c>
      <c r="P10" s="93">
        <v>32224814</v>
      </c>
      <c r="Q10" s="93" t="s">
        <v>107</v>
      </c>
      <c r="R10" s="93">
        <v>22200000</v>
      </c>
      <c r="S10" s="93" t="s">
        <v>107</v>
      </c>
      <c r="T10" s="93">
        <v>3901769934</v>
      </c>
      <c r="U10" s="110">
        <f t="shared" si="0"/>
        <v>8293248453</v>
      </c>
      <c r="W10" s="96"/>
    </row>
    <row r="11" spans="1:23" s="3" customFormat="1" ht="36">
      <c r="A11" s="120" t="s">
        <v>210</v>
      </c>
      <c r="B11" s="93">
        <v>167820761</v>
      </c>
      <c r="C11" s="93">
        <v>485326518</v>
      </c>
      <c r="D11" s="93">
        <v>1736077</v>
      </c>
      <c r="E11" s="93">
        <v>2117120410</v>
      </c>
      <c r="F11" s="93">
        <v>86893207</v>
      </c>
      <c r="G11" s="93">
        <v>28295821</v>
      </c>
      <c r="H11" s="93">
        <v>147384738</v>
      </c>
      <c r="I11" s="93">
        <v>2882122197</v>
      </c>
      <c r="J11" s="93">
        <v>7180000</v>
      </c>
      <c r="K11" s="93">
        <v>222967127</v>
      </c>
      <c r="L11" s="95">
        <v>560096</v>
      </c>
      <c r="M11" s="93" t="s">
        <v>107</v>
      </c>
      <c r="N11" s="93" t="s">
        <v>107</v>
      </c>
      <c r="O11" s="93" t="s">
        <v>107</v>
      </c>
      <c r="P11" s="93" t="s">
        <v>107</v>
      </c>
      <c r="Q11" s="93">
        <v>521526</v>
      </c>
      <c r="R11" s="93" t="s">
        <v>107</v>
      </c>
      <c r="S11" s="93" t="s">
        <v>107</v>
      </c>
      <c r="T11" s="93">
        <v>1081228539</v>
      </c>
      <c r="U11" s="110">
        <f t="shared" si="0"/>
        <v>7229157017</v>
      </c>
      <c r="W11" s="96"/>
    </row>
    <row r="12" spans="1:23" s="3" customFormat="1" ht="36">
      <c r="A12" s="120" t="s">
        <v>212</v>
      </c>
      <c r="B12" s="93">
        <v>53662500</v>
      </c>
      <c r="C12" s="93">
        <v>1605261577</v>
      </c>
      <c r="D12" s="93">
        <v>355338767</v>
      </c>
      <c r="E12" s="93">
        <v>5500000</v>
      </c>
      <c r="F12" s="93">
        <v>340478179</v>
      </c>
      <c r="G12" s="93">
        <v>323471</v>
      </c>
      <c r="H12" s="93">
        <v>28157159</v>
      </c>
      <c r="I12" s="93" t="s">
        <v>107</v>
      </c>
      <c r="J12" s="93">
        <v>67423008</v>
      </c>
      <c r="K12" s="93">
        <v>3798589</v>
      </c>
      <c r="L12" s="95" t="s">
        <v>107</v>
      </c>
      <c r="M12" s="93" t="s">
        <v>107</v>
      </c>
      <c r="N12" s="93" t="s">
        <v>107</v>
      </c>
      <c r="O12" s="93" t="s">
        <v>107</v>
      </c>
      <c r="P12" s="93" t="s">
        <v>107</v>
      </c>
      <c r="Q12" s="93">
        <v>88418</v>
      </c>
      <c r="R12" s="93" t="s">
        <v>107</v>
      </c>
      <c r="S12" s="93" t="s">
        <v>107</v>
      </c>
      <c r="T12" s="93">
        <v>2039614878</v>
      </c>
      <c r="U12" s="110">
        <f t="shared" si="0"/>
        <v>4499646546</v>
      </c>
      <c r="W12" s="96"/>
    </row>
    <row r="13" spans="1:23" s="3" customFormat="1" ht="36">
      <c r="A13" s="121" t="s">
        <v>209</v>
      </c>
      <c r="B13" s="93" t="s">
        <v>107</v>
      </c>
      <c r="C13" s="93">
        <v>4860174</v>
      </c>
      <c r="D13" s="93">
        <v>33529</v>
      </c>
      <c r="E13" s="93" t="s">
        <v>107</v>
      </c>
      <c r="F13" s="93" t="s">
        <v>107</v>
      </c>
      <c r="G13" s="93" t="s">
        <v>107</v>
      </c>
      <c r="H13" s="93" t="s">
        <v>107</v>
      </c>
      <c r="I13" s="93">
        <v>744513241</v>
      </c>
      <c r="J13" s="93" t="s">
        <v>107</v>
      </c>
      <c r="K13" s="93">
        <v>14445727</v>
      </c>
      <c r="L13" s="95" t="s">
        <v>107</v>
      </c>
      <c r="M13" s="93" t="s">
        <v>107</v>
      </c>
      <c r="N13" s="93" t="s">
        <v>107</v>
      </c>
      <c r="O13" s="93" t="s">
        <v>107</v>
      </c>
      <c r="P13" s="93" t="s">
        <v>107</v>
      </c>
      <c r="Q13" s="93" t="s">
        <v>107</v>
      </c>
      <c r="R13" s="93" t="s">
        <v>107</v>
      </c>
      <c r="S13" s="93" t="s">
        <v>107</v>
      </c>
      <c r="T13" s="93">
        <v>3604834177</v>
      </c>
      <c r="U13" s="110">
        <f t="shared" si="0"/>
        <v>4368686848</v>
      </c>
      <c r="W13" s="96"/>
    </row>
    <row r="14" spans="1:23" s="3" customFormat="1" ht="36">
      <c r="A14" s="120" t="s">
        <v>65</v>
      </c>
      <c r="B14" s="93">
        <v>96293676</v>
      </c>
      <c r="C14" s="93">
        <v>851081386</v>
      </c>
      <c r="D14" s="93">
        <v>360856797</v>
      </c>
      <c r="E14" s="93">
        <v>17900000</v>
      </c>
      <c r="F14" s="93">
        <v>80183604</v>
      </c>
      <c r="G14" s="93">
        <v>213681390</v>
      </c>
      <c r="H14" s="93">
        <v>11948485</v>
      </c>
      <c r="I14" s="93">
        <v>18873686</v>
      </c>
      <c r="J14" s="93">
        <v>45093597</v>
      </c>
      <c r="K14" s="93">
        <v>359423020</v>
      </c>
      <c r="L14" s="95" t="s">
        <v>107</v>
      </c>
      <c r="M14" s="93">
        <v>71900000</v>
      </c>
      <c r="N14" s="93" t="s">
        <v>107</v>
      </c>
      <c r="O14" s="93" t="s">
        <v>107</v>
      </c>
      <c r="P14" s="93" t="s">
        <v>107</v>
      </c>
      <c r="Q14" s="93" t="s">
        <v>107</v>
      </c>
      <c r="R14" s="93" t="s">
        <v>107</v>
      </c>
      <c r="S14" s="93" t="s">
        <v>107</v>
      </c>
      <c r="T14" s="93">
        <v>1375022973</v>
      </c>
      <c r="U14" s="110">
        <f t="shared" si="0"/>
        <v>3502258614</v>
      </c>
      <c r="W14" s="96"/>
    </row>
    <row r="15" spans="1:23" s="3" customFormat="1" ht="36">
      <c r="A15" s="120" t="s">
        <v>70</v>
      </c>
      <c r="B15" s="93" t="s">
        <v>107</v>
      </c>
      <c r="C15" s="93">
        <v>357361276</v>
      </c>
      <c r="D15" s="93">
        <v>411957000</v>
      </c>
      <c r="E15" s="93">
        <v>1073643093</v>
      </c>
      <c r="F15" s="93">
        <v>12468332</v>
      </c>
      <c r="G15" s="93">
        <v>58180108</v>
      </c>
      <c r="H15" s="93">
        <v>60442427</v>
      </c>
      <c r="I15" s="93">
        <v>300769</v>
      </c>
      <c r="J15" s="93">
        <v>47381782</v>
      </c>
      <c r="K15" s="93">
        <v>4032233</v>
      </c>
      <c r="L15" s="95">
        <v>3250000</v>
      </c>
      <c r="M15" s="93" t="s">
        <v>107</v>
      </c>
      <c r="N15" s="93" t="s">
        <v>107</v>
      </c>
      <c r="O15" s="93" t="s">
        <v>107</v>
      </c>
      <c r="P15" s="93">
        <v>1021806</v>
      </c>
      <c r="Q15" s="93" t="s">
        <v>107</v>
      </c>
      <c r="R15" s="93" t="s">
        <v>107</v>
      </c>
      <c r="S15" s="93" t="s">
        <v>107</v>
      </c>
      <c r="T15" s="93">
        <v>1145432673</v>
      </c>
      <c r="U15" s="110">
        <f t="shared" si="0"/>
        <v>3175471499</v>
      </c>
      <c r="W15" s="96"/>
    </row>
    <row r="16" spans="1:23" s="3" customFormat="1" ht="36">
      <c r="A16" s="120" t="s">
        <v>220</v>
      </c>
      <c r="B16" s="93" t="s">
        <v>107</v>
      </c>
      <c r="C16" s="93">
        <v>49322165</v>
      </c>
      <c r="D16" s="93">
        <v>809988997</v>
      </c>
      <c r="E16" s="93">
        <v>5800000</v>
      </c>
      <c r="F16" s="93">
        <v>615171293</v>
      </c>
      <c r="G16" s="93">
        <v>36766863</v>
      </c>
      <c r="H16" s="93" t="s">
        <v>107</v>
      </c>
      <c r="I16" s="93">
        <v>3356033</v>
      </c>
      <c r="J16" s="93">
        <v>146756603</v>
      </c>
      <c r="K16" s="93">
        <v>211575034</v>
      </c>
      <c r="L16" s="95" t="s">
        <v>107</v>
      </c>
      <c r="M16" s="93" t="s">
        <v>107</v>
      </c>
      <c r="N16" s="93" t="s">
        <v>107</v>
      </c>
      <c r="O16" s="93" t="s">
        <v>107</v>
      </c>
      <c r="P16" s="93" t="s">
        <v>107</v>
      </c>
      <c r="Q16" s="93" t="s">
        <v>107</v>
      </c>
      <c r="R16" s="93" t="s">
        <v>107</v>
      </c>
      <c r="S16" s="93" t="s">
        <v>107</v>
      </c>
      <c r="T16" s="93">
        <v>346910518</v>
      </c>
      <c r="U16" s="110">
        <f t="shared" si="0"/>
        <v>2225647506</v>
      </c>
      <c r="W16" s="96"/>
    </row>
    <row r="17" spans="1:23" s="3" customFormat="1" ht="36">
      <c r="A17" s="120" t="s">
        <v>194</v>
      </c>
      <c r="B17" s="93" t="s">
        <v>107</v>
      </c>
      <c r="C17" s="93">
        <v>50403042</v>
      </c>
      <c r="D17" s="93" t="s">
        <v>107</v>
      </c>
      <c r="E17" s="93" t="s">
        <v>107</v>
      </c>
      <c r="F17" s="93">
        <v>113521937</v>
      </c>
      <c r="G17" s="93">
        <v>1532</v>
      </c>
      <c r="H17" s="93">
        <v>48877679</v>
      </c>
      <c r="I17" s="93">
        <v>5000000</v>
      </c>
      <c r="J17" s="93" t="s">
        <v>107</v>
      </c>
      <c r="K17" s="93">
        <v>709063</v>
      </c>
      <c r="L17" s="95" t="s">
        <v>107</v>
      </c>
      <c r="M17" s="93" t="s">
        <v>107</v>
      </c>
      <c r="N17" s="93">
        <v>581550000</v>
      </c>
      <c r="O17" s="93" t="s">
        <v>107</v>
      </c>
      <c r="P17" s="93" t="s">
        <v>107</v>
      </c>
      <c r="Q17" s="93" t="s">
        <v>107</v>
      </c>
      <c r="R17" s="93" t="s">
        <v>107</v>
      </c>
      <c r="S17" s="93" t="s">
        <v>107</v>
      </c>
      <c r="T17" s="93">
        <v>958246489</v>
      </c>
      <c r="U17" s="110">
        <f t="shared" si="0"/>
        <v>1758309742</v>
      </c>
      <c r="W17" s="96"/>
    </row>
    <row r="18" spans="1:23" s="3" customFormat="1" ht="36">
      <c r="A18" s="120" t="s">
        <v>68</v>
      </c>
      <c r="B18" s="93">
        <v>111639857</v>
      </c>
      <c r="C18" s="93">
        <v>463657076</v>
      </c>
      <c r="D18" s="93" t="s">
        <v>107</v>
      </c>
      <c r="E18" s="93" t="s">
        <v>107</v>
      </c>
      <c r="F18" s="93">
        <v>50199760</v>
      </c>
      <c r="G18" s="93">
        <v>41105339</v>
      </c>
      <c r="H18" s="93">
        <v>55750776</v>
      </c>
      <c r="I18" s="93" t="s">
        <v>107</v>
      </c>
      <c r="J18" s="93">
        <v>6250799</v>
      </c>
      <c r="K18" s="93" t="s">
        <v>107</v>
      </c>
      <c r="L18" s="95" t="s">
        <v>107</v>
      </c>
      <c r="M18" s="93">
        <v>2040892</v>
      </c>
      <c r="N18" s="93" t="s">
        <v>107</v>
      </c>
      <c r="O18" s="93" t="s">
        <v>107</v>
      </c>
      <c r="P18" s="93" t="s">
        <v>107</v>
      </c>
      <c r="Q18" s="93" t="s">
        <v>107</v>
      </c>
      <c r="R18" s="93">
        <v>19850426</v>
      </c>
      <c r="S18" s="93" t="s">
        <v>107</v>
      </c>
      <c r="T18" s="93">
        <v>941000918</v>
      </c>
      <c r="U18" s="110">
        <f t="shared" si="0"/>
        <v>1691495843</v>
      </c>
      <c r="W18" s="96"/>
    </row>
    <row r="19" spans="1:23" s="3" customFormat="1" ht="36">
      <c r="A19" s="120" t="s">
        <v>66</v>
      </c>
      <c r="B19" s="93">
        <v>39758204</v>
      </c>
      <c r="C19" s="93">
        <v>625493378</v>
      </c>
      <c r="D19" s="93">
        <v>6334977</v>
      </c>
      <c r="E19" s="93">
        <v>10965607</v>
      </c>
      <c r="F19" s="93">
        <v>560481180</v>
      </c>
      <c r="G19" s="93">
        <v>14019454</v>
      </c>
      <c r="H19" s="93">
        <v>27524820</v>
      </c>
      <c r="I19" s="93">
        <v>17404924</v>
      </c>
      <c r="J19" s="93">
        <v>7605921</v>
      </c>
      <c r="K19" s="93">
        <v>12983240</v>
      </c>
      <c r="L19" s="95" t="s">
        <v>107</v>
      </c>
      <c r="M19" s="93" t="s">
        <v>107</v>
      </c>
      <c r="N19" s="93" t="s">
        <v>107</v>
      </c>
      <c r="O19" s="93" t="s">
        <v>107</v>
      </c>
      <c r="P19" s="93" t="s">
        <v>107</v>
      </c>
      <c r="Q19" s="93" t="s">
        <v>107</v>
      </c>
      <c r="R19" s="93" t="s">
        <v>107</v>
      </c>
      <c r="S19" s="93" t="s">
        <v>107</v>
      </c>
      <c r="T19" s="93">
        <v>228766044</v>
      </c>
      <c r="U19" s="110">
        <f t="shared" si="0"/>
        <v>1551337749</v>
      </c>
      <c r="W19" s="96"/>
    </row>
    <row r="20" spans="1:23" s="3" customFormat="1" ht="36">
      <c r="A20" s="122" t="s">
        <v>224</v>
      </c>
      <c r="B20" s="93">
        <v>4586590</v>
      </c>
      <c r="C20" s="93">
        <v>71674002</v>
      </c>
      <c r="D20" s="93">
        <v>922500000</v>
      </c>
      <c r="E20" s="93" t="s">
        <v>107</v>
      </c>
      <c r="F20" s="93">
        <v>14145056</v>
      </c>
      <c r="G20" s="93">
        <v>12135612</v>
      </c>
      <c r="H20" s="93" t="s">
        <v>107</v>
      </c>
      <c r="I20" s="93" t="s">
        <v>107</v>
      </c>
      <c r="J20" s="93">
        <v>75264000</v>
      </c>
      <c r="K20" s="93">
        <v>16313955</v>
      </c>
      <c r="L20" s="95" t="s">
        <v>107</v>
      </c>
      <c r="M20" s="93" t="s">
        <v>107</v>
      </c>
      <c r="N20" s="93" t="s">
        <v>107</v>
      </c>
      <c r="O20" s="93" t="s">
        <v>107</v>
      </c>
      <c r="P20" s="93" t="s">
        <v>107</v>
      </c>
      <c r="Q20" s="93" t="s">
        <v>107</v>
      </c>
      <c r="R20" s="93" t="s">
        <v>107</v>
      </c>
      <c r="S20" s="93" t="s">
        <v>107</v>
      </c>
      <c r="T20" s="93">
        <v>230055281</v>
      </c>
      <c r="U20" s="110">
        <f t="shared" si="0"/>
        <v>1346674496</v>
      </c>
      <c r="W20" s="96"/>
    </row>
    <row r="21" spans="1:23" s="3" customFormat="1" ht="36">
      <c r="A21" s="120" t="s">
        <v>213</v>
      </c>
      <c r="B21" s="93" t="s">
        <v>107</v>
      </c>
      <c r="C21" s="93">
        <v>879118923</v>
      </c>
      <c r="D21" s="93">
        <v>1117017</v>
      </c>
      <c r="E21" s="93" t="s">
        <v>107</v>
      </c>
      <c r="F21" s="93">
        <v>20675802</v>
      </c>
      <c r="G21" s="93" t="s">
        <v>107</v>
      </c>
      <c r="H21" s="93" t="s">
        <v>107</v>
      </c>
      <c r="I21" s="93" t="s">
        <v>107</v>
      </c>
      <c r="J21" s="93">
        <v>44452583</v>
      </c>
      <c r="K21" s="93">
        <v>2069788</v>
      </c>
      <c r="L21" s="95" t="s">
        <v>107</v>
      </c>
      <c r="M21" s="93">
        <v>3491065</v>
      </c>
      <c r="N21" s="93" t="s">
        <v>107</v>
      </c>
      <c r="O21" s="93" t="s">
        <v>107</v>
      </c>
      <c r="P21" s="93" t="s">
        <v>107</v>
      </c>
      <c r="Q21" s="93" t="s">
        <v>107</v>
      </c>
      <c r="R21" s="93" t="s">
        <v>107</v>
      </c>
      <c r="S21" s="93" t="s">
        <v>107</v>
      </c>
      <c r="T21" s="93">
        <v>336809007</v>
      </c>
      <c r="U21" s="110">
        <f t="shared" si="0"/>
        <v>1287734185</v>
      </c>
      <c r="W21" s="96"/>
    </row>
    <row r="22" spans="1:23" s="3" customFormat="1" ht="36">
      <c r="A22" s="120" t="s">
        <v>69</v>
      </c>
      <c r="B22" s="93">
        <v>375050472</v>
      </c>
      <c r="C22" s="93">
        <v>22864820</v>
      </c>
      <c r="D22" s="93">
        <v>9950000</v>
      </c>
      <c r="E22" s="93" t="s">
        <v>107</v>
      </c>
      <c r="F22" s="93">
        <v>21243376</v>
      </c>
      <c r="G22" s="93">
        <v>31994960</v>
      </c>
      <c r="H22" s="93" t="s">
        <v>107</v>
      </c>
      <c r="I22" s="93">
        <v>126915881</v>
      </c>
      <c r="J22" s="93">
        <v>99126596</v>
      </c>
      <c r="K22" s="93">
        <v>136727945</v>
      </c>
      <c r="L22" s="95" t="s">
        <v>107</v>
      </c>
      <c r="M22" s="93">
        <v>86381</v>
      </c>
      <c r="N22" s="93" t="s">
        <v>107</v>
      </c>
      <c r="O22" s="93" t="s">
        <v>107</v>
      </c>
      <c r="P22" s="93" t="s">
        <v>107</v>
      </c>
      <c r="Q22" s="93" t="s">
        <v>107</v>
      </c>
      <c r="R22" s="93" t="s">
        <v>107</v>
      </c>
      <c r="S22" s="93" t="s">
        <v>107</v>
      </c>
      <c r="T22" s="93">
        <v>432250731</v>
      </c>
      <c r="U22" s="110">
        <f t="shared" si="0"/>
        <v>1256211162</v>
      </c>
      <c r="W22" s="96"/>
    </row>
    <row r="23" spans="1:23" s="3" customFormat="1" ht="36">
      <c r="A23" s="121" t="s">
        <v>228</v>
      </c>
      <c r="B23" s="93" t="s">
        <v>107</v>
      </c>
      <c r="C23" s="93">
        <v>5000000</v>
      </c>
      <c r="D23" s="93" t="s">
        <v>107</v>
      </c>
      <c r="E23" s="93" t="s">
        <v>107</v>
      </c>
      <c r="F23" s="93">
        <v>31705332</v>
      </c>
      <c r="G23" s="93">
        <v>77052258</v>
      </c>
      <c r="H23" s="93">
        <v>474940</v>
      </c>
      <c r="I23" s="93">
        <v>48721546</v>
      </c>
      <c r="J23" s="93">
        <v>54140592</v>
      </c>
      <c r="K23" s="93">
        <v>28810340</v>
      </c>
      <c r="L23" s="95" t="s">
        <v>107</v>
      </c>
      <c r="M23" s="93" t="s">
        <v>107</v>
      </c>
      <c r="N23" s="93" t="s">
        <v>107</v>
      </c>
      <c r="O23" s="93" t="s">
        <v>107</v>
      </c>
      <c r="P23" s="93" t="s">
        <v>107</v>
      </c>
      <c r="Q23" s="93" t="s">
        <v>107</v>
      </c>
      <c r="R23" s="93" t="s">
        <v>107</v>
      </c>
      <c r="S23" s="93" t="s">
        <v>107</v>
      </c>
      <c r="T23" s="93">
        <v>983917573</v>
      </c>
      <c r="U23" s="110">
        <f t="shared" si="0"/>
        <v>1229822581</v>
      </c>
      <c r="W23" s="96"/>
    </row>
    <row r="24" spans="1:23" s="3" customFormat="1" ht="36">
      <c r="A24" s="121" t="s">
        <v>151</v>
      </c>
      <c r="B24" s="93">
        <v>21681000</v>
      </c>
      <c r="C24" s="93">
        <v>46750000</v>
      </c>
      <c r="D24" s="93">
        <v>339146</v>
      </c>
      <c r="E24" s="93" t="s">
        <v>107</v>
      </c>
      <c r="F24" s="93">
        <v>5553172</v>
      </c>
      <c r="G24" s="93">
        <v>189654375</v>
      </c>
      <c r="H24" s="93">
        <v>5350000</v>
      </c>
      <c r="I24" s="93">
        <v>168183</v>
      </c>
      <c r="J24" s="93">
        <v>795984</v>
      </c>
      <c r="K24" s="93">
        <v>2189858</v>
      </c>
      <c r="L24" s="95" t="s">
        <v>107</v>
      </c>
      <c r="M24" s="93">
        <v>149037</v>
      </c>
      <c r="N24" s="93" t="s">
        <v>107</v>
      </c>
      <c r="O24" s="93" t="s">
        <v>107</v>
      </c>
      <c r="P24" s="93" t="s">
        <v>107</v>
      </c>
      <c r="Q24" s="93" t="s">
        <v>107</v>
      </c>
      <c r="R24" s="93" t="s">
        <v>107</v>
      </c>
      <c r="S24" s="93" t="s">
        <v>107</v>
      </c>
      <c r="T24" s="93">
        <v>811057828</v>
      </c>
      <c r="U24" s="110">
        <f t="shared" si="0"/>
        <v>1083688583</v>
      </c>
      <c r="W24" s="96"/>
    </row>
    <row r="25" spans="1:23" s="3" customFormat="1" ht="36">
      <c r="A25" s="121" t="s">
        <v>215</v>
      </c>
      <c r="B25" s="93">
        <v>134241</v>
      </c>
      <c r="C25" s="93" t="s">
        <v>107</v>
      </c>
      <c r="D25" s="93" t="s">
        <v>107</v>
      </c>
      <c r="E25" s="93" t="s">
        <v>107</v>
      </c>
      <c r="F25" s="93" t="s">
        <v>107</v>
      </c>
      <c r="G25" s="93" t="s">
        <v>107</v>
      </c>
      <c r="H25" s="93" t="s">
        <v>107</v>
      </c>
      <c r="I25" s="93">
        <v>1009379635</v>
      </c>
      <c r="J25" s="93">
        <v>13013503</v>
      </c>
      <c r="K25" s="93" t="s">
        <v>107</v>
      </c>
      <c r="L25" s="95" t="s">
        <v>107</v>
      </c>
      <c r="M25" s="93" t="s">
        <v>107</v>
      </c>
      <c r="N25" s="93" t="s">
        <v>107</v>
      </c>
      <c r="O25" s="93" t="s">
        <v>107</v>
      </c>
      <c r="P25" s="93" t="s">
        <v>107</v>
      </c>
      <c r="Q25" s="93" t="s">
        <v>107</v>
      </c>
      <c r="R25" s="93" t="s">
        <v>107</v>
      </c>
      <c r="S25" s="93" t="s">
        <v>107</v>
      </c>
      <c r="T25" s="93">
        <v>1099814</v>
      </c>
      <c r="U25" s="110">
        <f t="shared" si="0"/>
        <v>1023627193</v>
      </c>
      <c r="W25" s="96"/>
    </row>
    <row r="26" spans="1:23" s="3" customFormat="1" ht="36">
      <c r="A26" s="123" t="s">
        <v>180</v>
      </c>
      <c r="B26" s="93">
        <v>254477021</v>
      </c>
      <c r="C26" s="93">
        <v>4687533</v>
      </c>
      <c r="D26" s="93" t="s">
        <v>107</v>
      </c>
      <c r="E26" s="93" t="s">
        <v>107</v>
      </c>
      <c r="F26" s="93">
        <v>52990611</v>
      </c>
      <c r="G26" s="93" t="s">
        <v>107</v>
      </c>
      <c r="H26" s="93">
        <v>28031</v>
      </c>
      <c r="I26" s="93" t="s">
        <v>107</v>
      </c>
      <c r="J26" s="93" t="s">
        <v>107</v>
      </c>
      <c r="K26" s="93" t="s">
        <v>107</v>
      </c>
      <c r="L26" s="95" t="s">
        <v>107</v>
      </c>
      <c r="M26" s="93" t="s">
        <v>107</v>
      </c>
      <c r="N26" s="93" t="s">
        <v>107</v>
      </c>
      <c r="O26" s="93" t="s">
        <v>107</v>
      </c>
      <c r="P26" s="93" t="s">
        <v>107</v>
      </c>
      <c r="Q26" s="93" t="s">
        <v>107</v>
      </c>
      <c r="R26" s="93" t="s">
        <v>107</v>
      </c>
      <c r="S26" s="93" t="s">
        <v>107</v>
      </c>
      <c r="T26" s="93">
        <v>606004910</v>
      </c>
      <c r="U26" s="110">
        <f t="shared" si="0"/>
        <v>918188106</v>
      </c>
      <c r="W26" s="96"/>
    </row>
    <row r="27" spans="1:23" s="3" customFormat="1" ht="36">
      <c r="A27" s="120" t="s">
        <v>225</v>
      </c>
      <c r="B27" s="93" t="s">
        <v>107</v>
      </c>
      <c r="C27" s="93" t="s">
        <v>107</v>
      </c>
      <c r="D27" s="93" t="s">
        <v>107</v>
      </c>
      <c r="E27" s="93" t="s">
        <v>107</v>
      </c>
      <c r="F27" s="93" t="s">
        <v>107</v>
      </c>
      <c r="G27" s="93">
        <v>1637811</v>
      </c>
      <c r="H27" s="93" t="s">
        <v>107</v>
      </c>
      <c r="I27" s="93" t="s">
        <v>107</v>
      </c>
      <c r="J27" s="93" t="s">
        <v>107</v>
      </c>
      <c r="K27" s="93">
        <v>618346794</v>
      </c>
      <c r="L27" s="95" t="s">
        <v>107</v>
      </c>
      <c r="M27" s="93" t="s">
        <v>107</v>
      </c>
      <c r="N27" s="93" t="s">
        <v>107</v>
      </c>
      <c r="O27" s="93" t="s">
        <v>107</v>
      </c>
      <c r="P27" s="93" t="s">
        <v>107</v>
      </c>
      <c r="Q27" s="93" t="s">
        <v>107</v>
      </c>
      <c r="R27" s="93" t="s">
        <v>107</v>
      </c>
      <c r="S27" s="93" t="s">
        <v>107</v>
      </c>
      <c r="T27" s="93">
        <v>353515</v>
      </c>
      <c r="U27" s="110">
        <f t="shared" si="0"/>
        <v>620338120</v>
      </c>
      <c r="W27" s="96"/>
    </row>
    <row r="28" spans="1:23" s="3" customFormat="1" ht="36">
      <c r="A28" s="120" t="s">
        <v>218</v>
      </c>
      <c r="B28" s="93">
        <v>57975000</v>
      </c>
      <c r="C28" s="93">
        <v>161761200</v>
      </c>
      <c r="D28" s="93">
        <v>71668159</v>
      </c>
      <c r="E28" s="93" t="s">
        <v>107</v>
      </c>
      <c r="F28" s="93">
        <v>39281687</v>
      </c>
      <c r="G28" s="93">
        <v>18428525</v>
      </c>
      <c r="H28" s="93" t="s">
        <v>107</v>
      </c>
      <c r="I28" s="93" t="s">
        <v>107</v>
      </c>
      <c r="J28" s="93">
        <v>4648971</v>
      </c>
      <c r="K28" s="93">
        <v>20469573</v>
      </c>
      <c r="L28" s="95" t="s">
        <v>107</v>
      </c>
      <c r="M28" s="93" t="s">
        <v>107</v>
      </c>
      <c r="N28" s="93" t="s">
        <v>107</v>
      </c>
      <c r="O28" s="93" t="s">
        <v>107</v>
      </c>
      <c r="P28" s="93" t="s">
        <v>107</v>
      </c>
      <c r="Q28" s="93" t="s">
        <v>107</v>
      </c>
      <c r="R28" s="93" t="s">
        <v>107</v>
      </c>
      <c r="S28" s="93" t="s">
        <v>107</v>
      </c>
      <c r="T28" s="93">
        <v>193491994</v>
      </c>
      <c r="U28" s="110">
        <f t="shared" si="0"/>
        <v>567725109</v>
      </c>
      <c r="W28" s="96"/>
    </row>
    <row r="29" spans="1:23" s="3" customFormat="1" ht="36">
      <c r="A29" s="120" t="s">
        <v>217</v>
      </c>
      <c r="B29" s="93" t="s">
        <v>107</v>
      </c>
      <c r="C29" s="93">
        <v>75354568</v>
      </c>
      <c r="D29" s="93" t="s">
        <v>107</v>
      </c>
      <c r="E29" s="93" t="s">
        <v>107</v>
      </c>
      <c r="F29" s="93">
        <v>5084443</v>
      </c>
      <c r="G29" s="93" t="s">
        <v>107</v>
      </c>
      <c r="H29" s="93" t="s">
        <v>107</v>
      </c>
      <c r="I29" s="93" t="s">
        <v>107</v>
      </c>
      <c r="J29" s="93" t="s">
        <v>107</v>
      </c>
      <c r="K29" s="93" t="s">
        <v>107</v>
      </c>
      <c r="L29" s="95" t="s">
        <v>107</v>
      </c>
      <c r="M29" s="93" t="s">
        <v>107</v>
      </c>
      <c r="N29" s="93" t="s">
        <v>107</v>
      </c>
      <c r="O29" s="93" t="s">
        <v>107</v>
      </c>
      <c r="P29" s="93" t="s">
        <v>107</v>
      </c>
      <c r="Q29" s="93" t="s">
        <v>107</v>
      </c>
      <c r="R29" s="93" t="s">
        <v>107</v>
      </c>
      <c r="S29" s="93" t="s">
        <v>107</v>
      </c>
      <c r="T29" s="93">
        <v>437442729</v>
      </c>
      <c r="U29" s="110">
        <f t="shared" si="0"/>
        <v>517881740</v>
      </c>
      <c r="W29" s="96"/>
    </row>
    <row r="30" spans="1:23" s="3" customFormat="1" ht="36">
      <c r="A30" s="120" t="s">
        <v>214</v>
      </c>
      <c r="B30" s="93" t="s">
        <v>107</v>
      </c>
      <c r="C30" s="93">
        <v>14751166</v>
      </c>
      <c r="D30" s="93" t="s">
        <v>107</v>
      </c>
      <c r="E30" s="93" t="s">
        <v>107</v>
      </c>
      <c r="F30" s="93" t="s">
        <v>107</v>
      </c>
      <c r="G30" s="93">
        <v>214078872</v>
      </c>
      <c r="H30" s="93" t="s">
        <v>107</v>
      </c>
      <c r="I30" s="93">
        <v>3279615</v>
      </c>
      <c r="J30" s="93" t="s">
        <v>107</v>
      </c>
      <c r="K30" s="93">
        <v>36668081</v>
      </c>
      <c r="L30" s="95" t="s">
        <v>107</v>
      </c>
      <c r="M30" s="93" t="s">
        <v>107</v>
      </c>
      <c r="N30" s="93" t="s">
        <v>107</v>
      </c>
      <c r="O30" s="93" t="s">
        <v>107</v>
      </c>
      <c r="P30" s="93" t="s">
        <v>107</v>
      </c>
      <c r="Q30" s="93" t="s">
        <v>107</v>
      </c>
      <c r="R30" s="93" t="s">
        <v>107</v>
      </c>
      <c r="S30" s="93" t="s">
        <v>107</v>
      </c>
      <c r="T30" s="93">
        <v>233372063</v>
      </c>
      <c r="U30" s="110">
        <f t="shared" si="0"/>
        <v>502149797</v>
      </c>
      <c r="W30" s="96"/>
    </row>
    <row r="31" spans="1:23" s="3" customFormat="1" ht="36">
      <c r="A31" s="120" t="s">
        <v>222</v>
      </c>
      <c r="B31" s="93" t="s">
        <v>107</v>
      </c>
      <c r="C31" s="93" t="s">
        <v>107</v>
      </c>
      <c r="D31" s="93" t="s">
        <v>107</v>
      </c>
      <c r="E31" s="93" t="s">
        <v>107</v>
      </c>
      <c r="F31" s="93">
        <v>7306634</v>
      </c>
      <c r="G31" s="93">
        <v>214592731</v>
      </c>
      <c r="H31" s="93" t="s">
        <v>107</v>
      </c>
      <c r="I31" s="93">
        <v>2551032</v>
      </c>
      <c r="J31" s="93" t="s">
        <v>107</v>
      </c>
      <c r="K31" s="93">
        <v>4629794</v>
      </c>
      <c r="L31" s="95" t="s">
        <v>107</v>
      </c>
      <c r="M31" s="93" t="s">
        <v>107</v>
      </c>
      <c r="N31" s="93" t="s">
        <v>107</v>
      </c>
      <c r="O31" s="93" t="s">
        <v>107</v>
      </c>
      <c r="P31" s="93" t="s">
        <v>107</v>
      </c>
      <c r="Q31" s="93" t="s">
        <v>107</v>
      </c>
      <c r="R31" s="93" t="s">
        <v>107</v>
      </c>
      <c r="S31" s="93" t="s">
        <v>107</v>
      </c>
      <c r="T31" s="93">
        <v>271687024</v>
      </c>
      <c r="U31" s="110">
        <f t="shared" si="0"/>
        <v>500767215</v>
      </c>
      <c r="W31" s="96"/>
    </row>
    <row r="32" spans="1:23" s="3" customFormat="1" ht="36">
      <c r="A32" s="120" t="s">
        <v>221</v>
      </c>
      <c r="B32" s="93" t="s">
        <v>107</v>
      </c>
      <c r="C32" s="93">
        <v>22041598</v>
      </c>
      <c r="D32" s="93">
        <v>48000</v>
      </c>
      <c r="E32" s="93" t="s">
        <v>107</v>
      </c>
      <c r="F32" s="93">
        <v>9441502</v>
      </c>
      <c r="G32" s="93">
        <v>18833242</v>
      </c>
      <c r="H32" s="93">
        <v>7614026</v>
      </c>
      <c r="I32" s="93">
        <v>43311134</v>
      </c>
      <c r="J32" s="93">
        <v>19232731</v>
      </c>
      <c r="K32" s="93" t="s">
        <v>107</v>
      </c>
      <c r="L32" s="95" t="s">
        <v>107</v>
      </c>
      <c r="M32" s="93" t="s">
        <v>107</v>
      </c>
      <c r="N32" s="93" t="s">
        <v>107</v>
      </c>
      <c r="O32" s="93" t="s">
        <v>107</v>
      </c>
      <c r="P32" s="93" t="s">
        <v>107</v>
      </c>
      <c r="Q32" s="93" t="s">
        <v>107</v>
      </c>
      <c r="R32" s="93" t="s">
        <v>107</v>
      </c>
      <c r="S32" s="93" t="s">
        <v>107</v>
      </c>
      <c r="T32" s="93">
        <v>377248347</v>
      </c>
      <c r="U32" s="110">
        <f t="shared" si="0"/>
        <v>497770580</v>
      </c>
      <c r="W32" s="96"/>
    </row>
    <row r="33" spans="1:23" s="3" customFormat="1" ht="36">
      <c r="A33" s="120" t="s">
        <v>74</v>
      </c>
      <c r="B33" s="93" t="s">
        <v>107</v>
      </c>
      <c r="C33" s="93">
        <v>38412901</v>
      </c>
      <c r="D33" s="93">
        <v>2500000</v>
      </c>
      <c r="E33" s="93">
        <v>5323826</v>
      </c>
      <c r="F33" s="93">
        <v>229600000</v>
      </c>
      <c r="G33" s="93">
        <v>34929732</v>
      </c>
      <c r="H33" s="93" t="s">
        <v>107</v>
      </c>
      <c r="I33" s="93" t="s">
        <v>107</v>
      </c>
      <c r="J33" s="93">
        <v>32375000</v>
      </c>
      <c r="K33" s="93" t="s">
        <v>107</v>
      </c>
      <c r="L33" s="95" t="s">
        <v>107</v>
      </c>
      <c r="M33" s="93" t="s">
        <v>107</v>
      </c>
      <c r="N33" s="93" t="s">
        <v>107</v>
      </c>
      <c r="O33" s="93" t="s">
        <v>107</v>
      </c>
      <c r="P33" s="93" t="s">
        <v>107</v>
      </c>
      <c r="Q33" s="93" t="s">
        <v>107</v>
      </c>
      <c r="R33" s="93" t="s">
        <v>107</v>
      </c>
      <c r="S33" s="93" t="s">
        <v>107</v>
      </c>
      <c r="T33" s="93">
        <v>151313487</v>
      </c>
      <c r="U33" s="110">
        <f t="shared" si="0"/>
        <v>494454946</v>
      </c>
      <c r="W33" s="96"/>
    </row>
    <row r="34" spans="1:23" s="3" customFormat="1" ht="36">
      <c r="A34" s="124" t="s">
        <v>229</v>
      </c>
      <c r="B34" s="98" t="s">
        <v>107</v>
      </c>
      <c r="C34" s="93">
        <v>213450000</v>
      </c>
      <c r="D34" s="93" t="s">
        <v>107</v>
      </c>
      <c r="E34" s="93" t="s">
        <v>107</v>
      </c>
      <c r="F34" s="93" t="s">
        <v>107</v>
      </c>
      <c r="G34" s="93">
        <v>208331</v>
      </c>
      <c r="H34" s="93">
        <v>239086</v>
      </c>
      <c r="I34" s="93" t="s">
        <v>107</v>
      </c>
      <c r="J34" s="93" t="s">
        <v>107</v>
      </c>
      <c r="K34" s="93">
        <v>27817302</v>
      </c>
      <c r="L34" s="95" t="s">
        <v>107</v>
      </c>
      <c r="M34" s="93" t="s">
        <v>107</v>
      </c>
      <c r="N34" s="93" t="s">
        <v>107</v>
      </c>
      <c r="O34" s="93" t="s">
        <v>107</v>
      </c>
      <c r="P34" s="93" t="s">
        <v>107</v>
      </c>
      <c r="Q34" s="93" t="s">
        <v>107</v>
      </c>
      <c r="R34" s="93" t="s">
        <v>107</v>
      </c>
      <c r="S34" s="93" t="s">
        <v>107</v>
      </c>
      <c r="T34" s="93">
        <v>236247257</v>
      </c>
      <c r="U34" s="110">
        <f t="shared" si="0"/>
        <v>477961976</v>
      </c>
      <c r="W34" s="96"/>
    </row>
    <row r="35" spans="1:23" s="3" customFormat="1" ht="36">
      <c r="A35" s="120" t="s">
        <v>226</v>
      </c>
      <c r="B35" s="93" t="s">
        <v>107</v>
      </c>
      <c r="C35" s="93" t="s">
        <v>107</v>
      </c>
      <c r="D35" s="93">
        <v>78181</v>
      </c>
      <c r="E35" s="93" t="s">
        <v>107</v>
      </c>
      <c r="F35" s="93">
        <v>38467386</v>
      </c>
      <c r="G35" s="93">
        <v>127109008</v>
      </c>
      <c r="H35" s="93" t="s">
        <v>107</v>
      </c>
      <c r="I35" s="93" t="s">
        <v>107</v>
      </c>
      <c r="J35" s="93" t="s">
        <v>107</v>
      </c>
      <c r="K35" s="93" t="s">
        <v>107</v>
      </c>
      <c r="L35" s="95" t="s">
        <v>107</v>
      </c>
      <c r="M35" s="93" t="s">
        <v>107</v>
      </c>
      <c r="N35" s="93" t="s">
        <v>107</v>
      </c>
      <c r="O35" s="93" t="s">
        <v>107</v>
      </c>
      <c r="P35" s="93" t="s">
        <v>107</v>
      </c>
      <c r="Q35" s="93" t="s">
        <v>107</v>
      </c>
      <c r="R35" s="93" t="s">
        <v>107</v>
      </c>
      <c r="S35" s="93" t="s">
        <v>107</v>
      </c>
      <c r="T35" s="93">
        <v>310150724</v>
      </c>
      <c r="U35" s="110">
        <f t="shared" si="0"/>
        <v>475805299</v>
      </c>
      <c r="W35" s="96"/>
    </row>
    <row r="36" spans="1:23" s="3" customFormat="1" ht="36">
      <c r="A36" s="120" t="s">
        <v>73</v>
      </c>
      <c r="B36" s="93" t="s">
        <v>107</v>
      </c>
      <c r="C36" s="93">
        <v>202541000</v>
      </c>
      <c r="D36" s="93" t="s">
        <v>107</v>
      </c>
      <c r="E36" s="93" t="s">
        <v>107</v>
      </c>
      <c r="F36" s="93">
        <v>150600000</v>
      </c>
      <c r="G36" s="93" t="s">
        <v>107</v>
      </c>
      <c r="H36" s="93" t="s">
        <v>107</v>
      </c>
      <c r="I36" s="93" t="s">
        <v>107</v>
      </c>
      <c r="J36" s="93" t="s">
        <v>107</v>
      </c>
      <c r="K36" s="93" t="s">
        <v>107</v>
      </c>
      <c r="L36" s="95" t="s">
        <v>107</v>
      </c>
      <c r="M36" s="93" t="s">
        <v>107</v>
      </c>
      <c r="N36" s="93" t="s">
        <v>107</v>
      </c>
      <c r="O36" s="93" t="s">
        <v>107</v>
      </c>
      <c r="P36" s="93" t="s">
        <v>107</v>
      </c>
      <c r="Q36" s="93" t="s">
        <v>107</v>
      </c>
      <c r="R36" s="93" t="s">
        <v>107</v>
      </c>
      <c r="S36" s="93" t="s">
        <v>107</v>
      </c>
      <c r="T36" s="93">
        <v>49719620</v>
      </c>
      <c r="U36" s="110">
        <f t="shared" si="0"/>
        <v>402860620</v>
      </c>
      <c r="W36" s="96"/>
    </row>
    <row r="37" spans="1:23" s="3" customFormat="1" ht="36">
      <c r="A37" s="120" t="s">
        <v>211</v>
      </c>
      <c r="B37" s="93">
        <v>17500000</v>
      </c>
      <c r="C37" s="93">
        <v>304260703</v>
      </c>
      <c r="D37" s="93" t="s">
        <v>107</v>
      </c>
      <c r="E37" s="93">
        <v>46230094</v>
      </c>
      <c r="F37" s="93" t="s">
        <v>107</v>
      </c>
      <c r="G37" s="93" t="s">
        <v>107</v>
      </c>
      <c r="H37" s="93" t="s">
        <v>107</v>
      </c>
      <c r="I37" s="93" t="s">
        <v>107</v>
      </c>
      <c r="J37" s="93" t="s">
        <v>107</v>
      </c>
      <c r="K37" s="93" t="s">
        <v>107</v>
      </c>
      <c r="L37" s="95" t="s">
        <v>107</v>
      </c>
      <c r="M37" s="93" t="s">
        <v>107</v>
      </c>
      <c r="N37" s="93" t="s">
        <v>107</v>
      </c>
      <c r="O37" s="93" t="s">
        <v>107</v>
      </c>
      <c r="P37" s="93" t="s">
        <v>107</v>
      </c>
      <c r="Q37" s="93" t="s">
        <v>107</v>
      </c>
      <c r="R37" s="93" t="s">
        <v>107</v>
      </c>
      <c r="S37" s="93" t="s">
        <v>107</v>
      </c>
      <c r="T37" s="93">
        <v>33471035</v>
      </c>
      <c r="U37" s="110">
        <f t="shared" ref="U37:U68" si="1">SUM(B37:T37)</f>
        <v>401461832</v>
      </c>
      <c r="W37" s="96"/>
    </row>
    <row r="38" spans="1:23" s="3" customFormat="1" ht="36">
      <c r="A38" s="120" t="s">
        <v>219</v>
      </c>
      <c r="B38" s="93" t="s">
        <v>107</v>
      </c>
      <c r="C38" s="93">
        <v>8377677</v>
      </c>
      <c r="D38" s="93" t="s">
        <v>107</v>
      </c>
      <c r="E38" s="93">
        <v>37567000</v>
      </c>
      <c r="F38" s="93" t="s">
        <v>107</v>
      </c>
      <c r="G38" s="93" t="s">
        <v>107</v>
      </c>
      <c r="H38" s="93">
        <v>272353463</v>
      </c>
      <c r="I38" s="93">
        <v>32715154</v>
      </c>
      <c r="J38" s="93" t="s">
        <v>107</v>
      </c>
      <c r="K38" s="93" t="s">
        <v>107</v>
      </c>
      <c r="L38" s="95" t="s">
        <v>107</v>
      </c>
      <c r="M38" s="93" t="s">
        <v>107</v>
      </c>
      <c r="N38" s="93" t="s">
        <v>107</v>
      </c>
      <c r="O38" s="93" t="s">
        <v>107</v>
      </c>
      <c r="P38" s="93" t="s">
        <v>107</v>
      </c>
      <c r="Q38" s="93" t="s">
        <v>107</v>
      </c>
      <c r="R38" s="93" t="s">
        <v>107</v>
      </c>
      <c r="S38" s="93" t="s">
        <v>107</v>
      </c>
      <c r="T38" s="93">
        <v>39987629</v>
      </c>
      <c r="U38" s="110">
        <f t="shared" si="1"/>
        <v>391000923</v>
      </c>
      <c r="W38" s="96"/>
    </row>
    <row r="39" spans="1:23" s="3" customFormat="1" ht="36">
      <c r="A39" s="120" t="s">
        <v>67</v>
      </c>
      <c r="B39" s="93">
        <v>2933122</v>
      </c>
      <c r="C39" s="93">
        <v>567478</v>
      </c>
      <c r="D39" s="93" t="s">
        <v>107</v>
      </c>
      <c r="E39" s="93" t="s">
        <v>107</v>
      </c>
      <c r="F39" s="93" t="s">
        <v>107</v>
      </c>
      <c r="G39" s="93">
        <v>2084950</v>
      </c>
      <c r="H39" s="93" t="s">
        <v>107</v>
      </c>
      <c r="I39" s="93" t="s">
        <v>107</v>
      </c>
      <c r="J39" s="93" t="s">
        <v>107</v>
      </c>
      <c r="K39" s="93" t="s">
        <v>107</v>
      </c>
      <c r="L39" s="95" t="s">
        <v>107</v>
      </c>
      <c r="M39" s="93" t="s">
        <v>107</v>
      </c>
      <c r="N39" s="93" t="s">
        <v>107</v>
      </c>
      <c r="O39" s="93" t="s">
        <v>107</v>
      </c>
      <c r="P39" s="93" t="s">
        <v>107</v>
      </c>
      <c r="Q39" s="93" t="s">
        <v>107</v>
      </c>
      <c r="R39" s="93" t="s">
        <v>107</v>
      </c>
      <c r="S39" s="93" t="s">
        <v>107</v>
      </c>
      <c r="T39" s="93">
        <v>355078117</v>
      </c>
      <c r="U39" s="110">
        <f t="shared" si="1"/>
        <v>360663667</v>
      </c>
      <c r="W39" s="96"/>
    </row>
    <row r="40" spans="1:23" s="3" customFormat="1" ht="36">
      <c r="A40" s="120" t="s">
        <v>216</v>
      </c>
      <c r="B40" s="93" t="s">
        <v>107</v>
      </c>
      <c r="C40" s="93" t="s">
        <v>107</v>
      </c>
      <c r="D40" s="93" t="s">
        <v>107</v>
      </c>
      <c r="E40" s="93" t="s">
        <v>107</v>
      </c>
      <c r="F40" s="93" t="s">
        <v>107</v>
      </c>
      <c r="G40" s="93" t="s">
        <v>107</v>
      </c>
      <c r="H40" s="93" t="s">
        <v>107</v>
      </c>
      <c r="I40" s="93" t="s">
        <v>107</v>
      </c>
      <c r="J40" s="93" t="s">
        <v>107</v>
      </c>
      <c r="K40" s="93" t="s">
        <v>107</v>
      </c>
      <c r="L40" s="95" t="s">
        <v>107</v>
      </c>
      <c r="M40" s="93" t="s">
        <v>107</v>
      </c>
      <c r="N40" s="93" t="s">
        <v>107</v>
      </c>
      <c r="O40" s="93" t="s">
        <v>107</v>
      </c>
      <c r="P40" s="93" t="s">
        <v>107</v>
      </c>
      <c r="Q40" s="93" t="s">
        <v>107</v>
      </c>
      <c r="R40" s="93" t="s">
        <v>107</v>
      </c>
      <c r="S40" s="93" t="s">
        <v>107</v>
      </c>
      <c r="T40" s="93">
        <v>249142862</v>
      </c>
      <c r="U40" s="110">
        <f t="shared" si="1"/>
        <v>249142862</v>
      </c>
      <c r="W40" s="96"/>
    </row>
    <row r="41" spans="1:23" s="3" customFormat="1" ht="36">
      <c r="A41" s="122" t="s">
        <v>223</v>
      </c>
      <c r="B41" s="93" t="s">
        <v>107</v>
      </c>
      <c r="C41" s="93">
        <v>155387068</v>
      </c>
      <c r="D41" s="93">
        <v>3679762</v>
      </c>
      <c r="E41" s="93" t="s">
        <v>107</v>
      </c>
      <c r="F41" s="93" t="s">
        <v>107</v>
      </c>
      <c r="G41" s="93" t="s">
        <v>107</v>
      </c>
      <c r="H41" s="93" t="s">
        <v>107</v>
      </c>
      <c r="I41" s="93" t="s">
        <v>107</v>
      </c>
      <c r="J41" s="93">
        <v>4228785</v>
      </c>
      <c r="K41" s="93">
        <v>9492891</v>
      </c>
      <c r="L41" s="95" t="s">
        <v>107</v>
      </c>
      <c r="M41" s="93" t="s">
        <v>107</v>
      </c>
      <c r="N41" s="93" t="s">
        <v>107</v>
      </c>
      <c r="O41" s="93" t="s">
        <v>107</v>
      </c>
      <c r="P41" s="93" t="s">
        <v>107</v>
      </c>
      <c r="Q41" s="93">
        <v>2143862</v>
      </c>
      <c r="R41" s="93" t="s">
        <v>107</v>
      </c>
      <c r="S41" s="93" t="s">
        <v>107</v>
      </c>
      <c r="T41" s="93">
        <v>44862909</v>
      </c>
      <c r="U41" s="110">
        <f t="shared" si="1"/>
        <v>219795277</v>
      </c>
      <c r="W41" s="96"/>
    </row>
    <row r="42" spans="1:23" s="3" customFormat="1" ht="36">
      <c r="A42" s="120" t="s">
        <v>243</v>
      </c>
      <c r="B42" s="93" t="s">
        <v>107</v>
      </c>
      <c r="C42" s="93" t="s">
        <v>107</v>
      </c>
      <c r="D42" s="93">
        <v>302127</v>
      </c>
      <c r="E42" s="93" t="s">
        <v>107</v>
      </c>
      <c r="F42" s="93" t="s">
        <v>107</v>
      </c>
      <c r="G42" s="93" t="s">
        <v>107</v>
      </c>
      <c r="H42" s="93" t="s">
        <v>107</v>
      </c>
      <c r="I42" s="93" t="s">
        <v>107</v>
      </c>
      <c r="J42" s="93" t="s">
        <v>107</v>
      </c>
      <c r="K42" s="93" t="s">
        <v>107</v>
      </c>
      <c r="L42" s="95" t="s">
        <v>107</v>
      </c>
      <c r="M42" s="93" t="s">
        <v>107</v>
      </c>
      <c r="N42" s="93" t="s">
        <v>107</v>
      </c>
      <c r="O42" s="93" t="s">
        <v>107</v>
      </c>
      <c r="P42" s="93" t="s">
        <v>107</v>
      </c>
      <c r="Q42" s="93" t="s">
        <v>107</v>
      </c>
      <c r="R42" s="93" t="s">
        <v>107</v>
      </c>
      <c r="S42" s="93" t="s">
        <v>107</v>
      </c>
      <c r="T42" s="93">
        <v>216180112</v>
      </c>
      <c r="U42" s="110">
        <f t="shared" si="1"/>
        <v>216482239</v>
      </c>
      <c r="W42" s="96"/>
    </row>
    <row r="43" spans="1:23" s="3" customFormat="1" ht="36">
      <c r="A43" s="120" t="s">
        <v>244</v>
      </c>
      <c r="B43" s="93" t="s">
        <v>107</v>
      </c>
      <c r="C43" s="93">
        <v>9175000</v>
      </c>
      <c r="D43" s="93" t="s">
        <v>107</v>
      </c>
      <c r="E43" s="93">
        <v>30079972</v>
      </c>
      <c r="F43" s="93" t="s">
        <v>107</v>
      </c>
      <c r="G43" s="93">
        <v>64150000</v>
      </c>
      <c r="H43" s="93" t="s">
        <v>107</v>
      </c>
      <c r="I43" s="93">
        <v>7400000</v>
      </c>
      <c r="J43" s="93" t="s">
        <v>107</v>
      </c>
      <c r="K43" s="93">
        <v>641096</v>
      </c>
      <c r="L43" s="95" t="s">
        <v>107</v>
      </c>
      <c r="M43" s="93" t="s">
        <v>107</v>
      </c>
      <c r="N43" s="93" t="s">
        <v>107</v>
      </c>
      <c r="O43" s="93" t="s">
        <v>107</v>
      </c>
      <c r="P43" s="93" t="s">
        <v>107</v>
      </c>
      <c r="Q43" s="93" t="s">
        <v>107</v>
      </c>
      <c r="R43" s="93" t="s">
        <v>107</v>
      </c>
      <c r="S43" s="93" t="s">
        <v>107</v>
      </c>
      <c r="T43" s="93">
        <v>101154561</v>
      </c>
      <c r="U43" s="110">
        <f t="shared" si="1"/>
        <v>212600629</v>
      </c>
      <c r="W43" s="96"/>
    </row>
    <row r="44" spans="1:23" s="3" customFormat="1" ht="36">
      <c r="A44" s="120" t="s">
        <v>72</v>
      </c>
      <c r="B44" s="93">
        <v>6275832</v>
      </c>
      <c r="C44" s="93">
        <v>77687698</v>
      </c>
      <c r="D44" s="93" t="s">
        <v>107</v>
      </c>
      <c r="E44" s="93">
        <v>3971989</v>
      </c>
      <c r="F44" s="93">
        <v>24181260</v>
      </c>
      <c r="G44" s="93" t="s">
        <v>107</v>
      </c>
      <c r="H44" s="93">
        <v>1134680</v>
      </c>
      <c r="I44" s="93" t="s">
        <v>107</v>
      </c>
      <c r="J44" s="93">
        <v>5571528</v>
      </c>
      <c r="K44" s="93" t="s">
        <v>107</v>
      </c>
      <c r="L44" s="95" t="s">
        <v>107</v>
      </c>
      <c r="M44" s="93" t="s">
        <v>107</v>
      </c>
      <c r="N44" s="93" t="s">
        <v>107</v>
      </c>
      <c r="O44" s="93" t="s">
        <v>107</v>
      </c>
      <c r="P44" s="93" t="s">
        <v>107</v>
      </c>
      <c r="Q44" s="93" t="s">
        <v>107</v>
      </c>
      <c r="R44" s="93" t="s">
        <v>107</v>
      </c>
      <c r="S44" s="93" t="s">
        <v>107</v>
      </c>
      <c r="T44" s="93">
        <v>82862295</v>
      </c>
      <c r="U44" s="110">
        <f t="shared" si="1"/>
        <v>201685282</v>
      </c>
      <c r="W44" s="96"/>
    </row>
    <row r="45" spans="1:23" s="3" customFormat="1" ht="36">
      <c r="A45" s="120" t="s">
        <v>227</v>
      </c>
      <c r="B45" s="93" t="s">
        <v>107</v>
      </c>
      <c r="C45" s="93" t="s">
        <v>107</v>
      </c>
      <c r="D45" s="93" t="s">
        <v>107</v>
      </c>
      <c r="E45" s="93" t="s">
        <v>107</v>
      </c>
      <c r="F45" s="93">
        <v>15088090</v>
      </c>
      <c r="G45" s="93" t="s">
        <v>107</v>
      </c>
      <c r="H45" s="93" t="s">
        <v>107</v>
      </c>
      <c r="I45" s="93" t="s">
        <v>107</v>
      </c>
      <c r="J45" s="93" t="s">
        <v>107</v>
      </c>
      <c r="K45" s="93" t="s">
        <v>107</v>
      </c>
      <c r="L45" s="95" t="s">
        <v>107</v>
      </c>
      <c r="M45" s="93" t="s">
        <v>107</v>
      </c>
      <c r="N45" s="93" t="s">
        <v>107</v>
      </c>
      <c r="O45" s="93" t="s">
        <v>107</v>
      </c>
      <c r="P45" s="93" t="s">
        <v>107</v>
      </c>
      <c r="Q45" s="93" t="s">
        <v>107</v>
      </c>
      <c r="R45" s="93" t="s">
        <v>107</v>
      </c>
      <c r="S45" s="93" t="s">
        <v>107</v>
      </c>
      <c r="T45" s="93">
        <v>114937836</v>
      </c>
      <c r="U45" s="110">
        <f t="shared" si="1"/>
        <v>130025926</v>
      </c>
      <c r="W45" s="96"/>
    </row>
    <row r="46" spans="1:23" s="3" customFormat="1" ht="36">
      <c r="A46" s="121" t="s">
        <v>240</v>
      </c>
      <c r="B46" s="93" t="s">
        <v>107</v>
      </c>
      <c r="C46" s="93" t="s">
        <v>107</v>
      </c>
      <c r="D46" s="93" t="s">
        <v>107</v>
      </c>
      <c r="E46" s="93" t="s">
        <v>107</v>
      </c>
      <c r="F46" s="93">
        <v>70697862</v>
      </c>
      <c r="G46" s="93" t="s">
        <v>107</v>
      </c>
      <c r="H46" s="93" t="s">
        <v>107</v>
      </c>
      <c r="I46" s="93" t="s">
        <v>107</v>
      </c>
      <c r="J46" s="93" t="s">
        <v>107</v>
      </c>
      <c r="K46" s="93" t="s">
        <v>107</v>
      </c>
      <c r="L46" s="95" t="s">
        <v>107</v>
      </c>
      <c r="M46" s="93" t="s">
        <v>107</v>
      </c>
      <c r="N46" s="93" t="s">
        <v>107</v>
      </c>
      <c r="O46" s="93" t="s">
        <v>107</v>
      </c>
      <c r="P46" s="93" t="s">
        <v>107</v>
      </c>
      <c r="Q46" s="93" t="s">
        <v>107</v>
      </c>
      <c r="R46" s="93" t="s">
        <v>107</v>
      </c>
      <c r="S46" s="93" t="s">
        <v>107</v>
      </c>
      <c r="T46" s="93">
        <v>32143994</v>
      </c>
      <c r="U46" s="110">
        <f t="shared" si="1"/>
        <v>102841856</v>
      </c>
      <c r="W46" s="96"/>
    </row>
    <row r="47" spans="1:23" s="3" customFormat="1" ht="36">
      <c r="A47" s="120" t="s">
        <v>231</v>
      </c>
      <c r="B47" s="93" t="s">
        <v>107</v>
      </c>
      <c r="C47" s="93" t="s">
        <v>107</v>
      </c>
      <c r="D47" s="93" t="s">
        <v>107</v>
      </c>
      <c r="E47" s="93" t="s">
        <v>107</v>
      </c>
      <c r="F47" s="93" t="s">
        <v>107</v>
      </c>
      <c r="G47" s="93">
        <v>38397853</v>
      </c>
      <c r="H47" s="93" t="s">
        <v>107</v>
      </c>
      <c r="I47" s="93" t="s">
        <v>107</v>
      </c>
      <c r="J47" s="93" t="s">
        <v>107</v>
      </c>
      <c r="K47" s="93" t="s">
        <v>107</v>
      </c>
      <c r="L47" s="95" t="s">
        <v>107</v>
      </c>
      <c r="M47" s="93" t="s">
        <v>107</v>
      </c>
      <c r="N47" s="93" t="s">
        <v>107</v>
      </c>
      <c r="O47" s="93" t="s">
        <v>107</v>
      </c>
      <c r="P47" s="93" t="s">
        <v>107</v>
      </c>
      <c r="Q47" s="93" t="s">
        <v>107</v>
      </c>
      <c r="R47" s="93" t="s">
        <v>107</v>
      </c>
      <c r="S47" s="93" t="s">
        <v>107</v>
      </c>
      <c r="T47" s="93">
        <v>52423395</v>
      </c>
      <c r="U47" s="110">
        <f t="shared" si="1"/>
        <v>90821248</v>
      </c>
      <c r="W47" s="96"/>
    </row>
    <row r="48" spans="1:23" s="3" customFormat="1" ht="36">
      <c r="A48" s="122" t="s">
        <v>245</v>
      </c>
      <c r="B48" s="93" t="s">
        <v>107</v>
      </c>
      <c r="C48" s="93">
        <v>554063</v>
      </c>
      <c r="D48" s="93">
        <v>11536866</v>
      </c>
      <c r="E48" s="93" t="s">
        <v>107</v>
      </c>
      <c r="F48" s="93">
        <v>166830</v>
      </c>
      <c r="G48" s="93">
        <v>66632</v>
      </c>
      <c r="H48" s="93" t="s">
        <v>107</v>
      </c>
      <c r="I48" s="93" t="s">
        <v>107</v>
      </c>
      <c r="J48" s="93" t="s">
        <v>107</v>
      </c>
      <c r="K48" s="93" t="s">
        <v>107</v>
      </c>
      <c r="L48" s="95">
        <v>20600000</v>
      </c>
      <c r="M48" s="93" t="s">
        <v>107</v>
      </c>
      <c r="N48" s="93" t="s">
        <v>107</v>
      </c>
      <c r="O48" s="93" t="s">
        <v>107</v>
      </c>
      <c r="P48" s="93" t="s">
        <v>107</v>
      </c>
      <c r="Q48" s="93" t="s">
        <v>107</v>
      </c>
      <c r="R48" s="93" t="s">
        <v>107</v>
      </c>
      <c r="S48" s="93" t="s">
        <v>107</v>
      </c>
      <c r="T48" s="93">
        <v>48609347</v>
      </c>
      <c r="U48" s="110">
        <f t="shared" si="1"/>
        <v>81533738</v>
      </c>
      <c r="W48" s="96"/>
    </row>
    <row r="49" spans="1:23" s="3" customFormat="1" ht="36">
      <c r="A49" s="125" t="s">
        <v>184</v>
      </c>
      <c r="B49" s="93" t="s">
        <v>107</v>
      </c>
      <c r="C49" s="93" t="s">
        <v>107</v>
      </c>
      <c r="D49" s="93" t="s">
        <v>107</v>
      </c>
      <c r="E49" s="93" t="s">
        <v>107</v>
      </c>
      <c r="F49" s="93" t="s">
        <v>107</v>
      </c>
      <c r="G49" s="93" t="s">
        <v>107</v>
      </c>
      <c r="H49" s="93" t="s">
        <v>107</v>
      </c>
      <c r="I49" s="93" t="s">
        <v>107</v>
      </c>
      <c r="J49" s="93" t="s">
        <v>107</v>
      </c>
      <c r="K49" s="93" t="s">
        <v>107</v>
      </c>
      <c r="L49" s="95" t="s">
        <v>107</v>
      </c>
      <c r="M49" s="93" t="s">
        <v>107</v>
      </c>
      <c r="N49" s="93" t="s">
        <v>107</v>
      </c>
      <c r="O49" s="93" t="s">
        <v>107</v>
      </c>
      <c r="P49" s="93" t="s">
        <v>107</v>
      </c>
      <c r="Q49" s="93" t="s">
        <v>107</v>
      </c>
      <c r="R49" s="93" t="s">
        <v>107</v>
      </c>
      <c r="S49" s="93" t="s">
        <v>107</v>
      </c>
      <c r="T49" s="93">
        <v>78200000</v>
      </c>
      <c r="U49" s="110">
        <f t="shared" si="1"/>
        <v>78200000</v>
      </c>
      <c r="W49" s="96"/>
    </row>
    <row r="50" spans="1:23" s="3" customFormat="1" ht="36">
      <c r="A50" s="120" t="s">
        <v>232</v>
      </c>
      <c r="B50" s="93" t="s">
        <v>107</v>
      </c>
      <c r="C50" s="93" t="s">
        <v>107</v>
      </c>
      <c r="D50" s="93" t="s">
        <v>107</v>
      </c>
      <c r="E50" s="93" t="s">
        <v>107</v>
      </c>
      <c r="F50" s="93" t="s">
        <v>107</v>
      </c>
      <c r="G50" s="93">
        <v>2880026</v>
      </c>
      <c r="H50" s="93" t="s">
        <v>107</v>
      </c>
      <c r="I50" s="93">
        <v>54151857</v>
      </c>
      <c r="J50" s="93" t="s">
        <v>107</v>
      </c>
      <c r="K50" s="93" t="s">
        <v>107</v>
      </c>
      <c r="L50" s="95" t="s">
        <v>107</v>
      </c>
      <c r="M50" s="93" t="s">
        <v>107</v>
      </c>
      <c r="N50" s="93" t="s">
        <v>107</v>
      </c>
      <c r="O50" s="93" t="s">
        <v>107</v>
      </c>
      <c r="P50" s="93" t="s">
        <v>107</v>
      </c>
      <c r="Q50" s="93" t="s">
        <v>107</v>
      </c>
      <c r="R50" s="93" t="s">
        <v>107</v>
      </c>
      <c r="S50" s="93" t="s">
        <v>107</v>
      </c>
      <c r="T50" s="93">
        <v>17000046</v>
      </c>
      <c r="U50" s="110">
        <f t="shared" si="1"/>
        <v>74031929</v>
      </c>
      <c r="W50" s="96"/>
    </row>
    <row r="51" spans="1:23" s="3" customFormat="1" ht="36">
      <c r="A51" s="120" t="s">
        <v>75</v>
      </c>
      <c r="B51" s="93" t="s">
        <v>107</v>
      </c>
      <c r="C51" s="93">
        <v>753780</v>
      </c>
      <c r="D51" s="93" t="s">
        <v>107</v>
      </c>
      <c r="E51" s="93" t="s">
        <v>107</v>
      </c>
      <c r="F51" s="93">
        <v>222724</v>
      </c>
      <c r="G51" s="93">
        <v>52400000</v>
      </c>
      <c r="H51" s="93" t="s">
        <v>107</v>
      </c>
      <c r="I51" s="93" t="s">
        <v>107</v>
      </c>
      <c r="J51" s="93">
        <v>380755</v>
      </c>
      <c r="K51" s="93" t="s">
        <v>107</v>
      </c>
      <c r="L51" s="95" t="s">
        <v>107</v>
      </c>
      <c r="M51" s="93" t="s">
        <v>107</v>
      </c>
      <c r="N51" s="93" t="s">
        <v>107</v>
      </c>
      <c r="O51" s="93" t="s">
        <v>107</v>
      </c>
      <c r="P51" s="93" t="s">
        <v>107</v>
      </c>
      <c r="Q51" s="93" t="s">
        <v>107</v>
      </c>
      <c r="R51" s="93" t="s">
        <v>107</v>
      </c>
      <c r="S51" s="93" t="s">
        <v>107</v>
      </c>
      <c r="T51" s="93">
        <v>19863633</v>
      </c>
      <c r="U51" s="110">
        <f t="shared" si="1"/>
        <v>73620892</v>
      </c>
      <c r="W51" s="96"/>
    </row>
    <row r="52" spans="1:23" s="3" customFormat="1" ht="36">
      <c r="A52" s="121" t="s">
        <v>237</v>
      </c>
      <c r="B52" s="93" t="s">
        <v>107</v>
      </c>
      <c r="C52" s="93">
        <v>16586127</v>
      </c>
      <c r="D52" s="93" t="s">
        <v>107</v>
      </c>
      <c r="E52" s="93" t="s">
        <v>107</v>
      </c>
      <c r="F52" s="93" t="s">
        <v>107</v>
      </c>
      <c r="G52" s="93">
        <v>2144553</v>
      </c>
      <c r="H52" s="93" t="s">
        <v>107</v>
      </c>
      <c r="I52" s="93">
        <v>12575949</v>
      </c>
      <c r="J52" s="93" t="s">
        <v>107</v>
      </c>
      <c r="K52" s="93">
        <v>33009408</v>
      </c>
      <c r="L52" s="95" t="s">
        <v>107</v>
      </c>
      <c r="M52" s="93" t="s">
        <v>107</v>
      </c>
      <c r="N52" s="93" t="s">
        <v>107</v>
      </c>
      <c r="O52" s="93" t="s">
        <v>107</v>
      </c>
      <c r="P52" s="93" t="s">
        <v>107</v>
      </c>
      <c r="Q52" s="93" t="s">
        <v>107</v>
      </c>
      <c r="R52" s="93" t="s">
        <v>107</v>
      </c>
      <c r="S52" s="93" t="s">
        <v>107</v>
      </c>
      <c r="T52" s="93">
        <v>7404031</v>
      </c>
      <c r="U52" s="110">
        <f t="shared" si="1"/>
        <v>71720068</v>
      </c>
      <c r="W52" s="96"/>
    </row>
    <row r="53" spans="1:23" s="3" customFormat="1" ht="36">
      <c r="A53" s="120" t="s">
        <v>248</v>
      </c>
      <c r="B53" s="93">
        <v>17915000</v>
      </c>
      <c r="C53" s="93" t="s">
        <v>107</v>
      </c>
      <c r="D53" s="93" t="s">
        <v>107</v>
      </c>
      <c r="E53" s="93" t="s">
        <v>107</v>
      </c>
      <c r="F53" s="93" t="s">
        <v>107</v>
      </c>
      <c r="G53" s="93" t="s">
        <v>107</v>
      </c>
      <c r="H53" s="93" t="s">
        <v>107</v>
      </c>
      <c r="I53" s="93" t="s">
        <v>107</v>
      </c>
      <c r="J53" s="93" t="s">
        <v>107</v>
      </c>
      <c r="K53" s="93" t="s">
        <v>107</v>
      </c>
      <c r="L53" s="95" t="s">
        <v>107</v>
      </c>
      <c r="M53" s="93" t="s">
        <v>107</v>
      </c>
      <c r="N53" s="93" t="s">
        <v>107</v>
      </c>
      <c r="O53" s="93" t="s">
        <v>107</v>
      </c>
      <c r="P53" s="93" t="s">
        <v>107</v>
      </c>
      <c r="Q53" s="93" t="s">
        <v>107</v>
      </c>
      <c r="R53" s="93" t="s">
        <v>107</v>
      </c>
      <c r="S53" s="93" t="s">
        <v>107</v>
      </c>
      <c r="T53" s="93">
        <v>36533251</v>
      </c>
      <c r="U53" s="110">
        <f t="shared" si="1"/>
        <v>54448251</v>
      </c>
      <c r="W53" s="96"/>
    </row>
    <row r="54" spans="1:23" s="3" customFormat="1" ht="36">
      <c r="A54" s="120" t="s">
        <v>188</v>
      </c>
      <c r="B54" s="93" t="s">
        <v>107</v>
      </c>
      <c r="C54" s="93">
        <v>4929563</v>
      </c>
      <c r="D54" s="93" t="s">
        <v>107</v>
      </c>
      <c r="E54" s="93" t="s">
        <v>107</v>
      </c>
      <c r="F54" s="93">
        <v>41476877</v>
      </c>
      <c r="G54" s="93" t="s">
        <v>107</v>
      </c>
      <c r="H54" s="93" t="s">
        <v>107</v>
      </c>
      <c r="I54" s="93" t="s">
        <v>107</v>
      </c>
      <c r="J54" s="93" t="s">
        <v>107</v>
      </c>
      <c r="K54" s="93" t="s">
        <v>107</v>
      </c>
      <c r="L54" s="95" t="s">
        <v>107</v>
      </c>
      <c r="M54" s="93" t="s">
        <v>107</v>
      </c>
      <c r="N54" s="93" t="s">
        <v>107</v>
      </c>
      <c r="O54" s="93" t="s">
        <v>107</v>
      </c>
      <c r="P54" s="93" t="s">
        <v>107</v>
      </c>
      <c r="Q54" s="93" t="s">
        <v>107</v>
      </c>
      <c r="R54" s="93" t="s">
        <v>107</v>
      </c>
      <c r="S54" s="93" t="s">
        <v>107</v>
      </c>
      <c r="T54" s="93">
        <v>6043243</v>
      </c>
      <c r="U54" s="110">
        <f t="shared" si="1"/>
        <v>52449683</v>
      </c>
      <c r="W54" s="96"/>
    </row>
    <row r="55" spans="1:23" s="3" customFormat="1" ht="36">
      <c r="A55" s="120" t="s">
        <v>230</v>
      </c>
      <c r="B55" s="93" t="s">
        <v>107</v>
      </c>
      <c r="C55" s="93" t="s">
        <v>107</v>
      </c>
      <c r="D55" s="93" t="s">
        <v>107</v>
      </c>
      <c r="E55" s="93" t="s">
        <v>107</v>
      </c>
      <c r="F55" s="93" t="s">
        <v>107</v>
      </c>
      <c r="G55" s="93" t="s">
        <v>107</v>
      </c>
      <c r="H55" s="93" t="s">
        <v>107</v>
      </c>
      <c r="I55" s="93">
        <v>49911217</v>
      </c>
      <c r="J55" s="93" t="s">
        <v>107</v>
      </c>
      <c r="K55" s="93" t="s">
        <v>107</v>
      </c>
      <c r="L55" s="95" t="s">
        <v>107</v>
      </c>
      <c r="M55" s="93" t="s">
        <v>107</v>
      </c>
      <c r="N55" s="93" t="s">
        <v>107</v>
      </c>
      <c r="O55" s="93" t="s">
        <v>107</v>
      </c>
      <c r="P55" s="93" t="s">
        <v>107</v>
      </c>
      <c r="Q55" s="93" t="s">
        <v>107</v>
      </c>
      <c r="R55" s="93" t="s">
        <v>107</v>
      </c>
      <c r="S55" s="93" t="s">
        <v>107</v>
      </c>
      <c r="T55" s="93" t="s">
        <v>107</v>
      </c>
      <c r="U55" s="110">
        <f t="shared" si="1"/>
        <v>49911217</v>
      </c>
      <c r="W55" s="96"/>
    </row>
    <row r="56" spans="1:23" s="3" customFormat="1" ht="36">
      <c r="A56" s="120" t="s">
        <v>242</v>
      </c>
      <c r="B56" s="93" t="s">
        <v>107</v>
      </c>
      <c r="C56" s="93" t="s">
        <v>107</v>
      </c>
      <c r="D56" s="93" t="s">
        <v>107</v>
      </c>
      <c r="E56" s="93" t="s">
        <v>107</v>
      </c>
      <c r="F56" s="93" t="s">
        <v>107</v>
      </c>
      <c r="G56" s="93" t="s">
        <v>107</v>
      </c>
      <c r="H56" s="93" t="s">
        <v>107</v>
      </c>
      <c r="I56" s="93" t="s">
        <v>107</v>
      </c>
      <c r="J56" s="93" t="s">
        <v>107</v>
      </c>
      <c r="K56" s="93" t="s">
        <v>107</v>
      </c>
      <c r="L56" s="95" t="s">
        <v>107</v>
      </c>
      <c r="M56" s="93" t="s">
        <v>107</v>
      </c>
      <c r="N56" s="93" t="s">
        <v>107</v>
      </c>
      <c r="O56" s="93" t="s">
        <v>107</v>
      </c>
      <c r="P56" s="93" t="s">
        <v>107</v>
      </c>
      <c r="Q56" s="93" t="s">
        <v>107</v>
      </c>
      <c r="R56" s="93" t="s">
        <v>107</v>
      </c>
      <c r="S56" s="93" t="s">
        <v>107</v>
      </c>
      <c r="T56" s="93">
        <v>37400000</v>
      </c>
      <c r="U56" s="110">
        <f t="shared" si="1"/>
        <v>37400000</v>
      </c>
      <c r="W56" s="96"/>
    </row>
    <row r="57" spans="1:23" s="3" customFormat="1" ht="36">
      <c r="A57" s="124" t="s">
        <v>147</v>
      </c>
      <c r="B57" s="98" t="s">
        <v>107</v>
      </c>
      <c r="C57" s="93">
        <v>30700000</v>
      </c>
      <c r="D57" s="93" t="s">
        <v>107</v>
      </c>
      <c r="E57" s="93" t="s">
        <v>107</v>
      </c>
      <c r="F57" s="93" t="s">
        <v>107</v>
      </c>
      <c r="G57" s="93" t="s">
        <v>107</v>
      </c>
      <c r="H57" s="93" t="s">
        <v>107</v>
      </c>
      <c r="I57" s="93" t="s">
        <v>107</v>
      </c>
      <c r="J57" s="93" t="s">
        <v>107</v>
      </c>
      <c r="K57" s="93" t="s">
        <v>107</v>
      </c>
      <c r="L57" s="95" t="s">
        <v>107</v>
      </c>
      <c r="M57" s="93" t="s">
        <v>107</v>
      </c>
      <c r="N57" s="93" t="s">
        <v>107</v>
      </c>
      <c r="O57" s="93" t="s">
        <v>107</v>
      </c>
      <c r="P57" s="93" t="s">
        <v>107</v>
      </c>
      <c r="Q57" s="93" t="s">
        <v>107</v>
      </c>
      <c r="R57" s="93" t="s">
        <v>107</v>
      </c>
      <c r="S57" s="93" t="s">
        <v>107</v>
      </c>
      <c r="T57" s="93" t="s">
        <v>107</v>
      </c>
      <c r="U57" s="110">
        <f t="shared" si="1"/>
        <v>30700000</v>
      </c>
      <c r="W57" s="96"/>
    </row>
    <row r="58" spans="1:23" s="3" customFormat="1" ht="36">
      <c r="A58" s="120" t="s">
        <v>234</v>
      </c>
      <c r="B58" s="93" t="s">
        <v>107</v>
      </c>
      <c r="C58" s="93">
        <v>15300000</v>
      </c>
      <c r="D58" s="93" t="s">
        <v>107</v>
      </c>
      <c r="E58" s="93" t="s">
        <v>107</v>
      </c>
      <c r="F58" s="93" t="s">
        <v>107</v>
      </c>
      <c r="G58" s="93" t="s">
        <v>107</v>
      </c>
      <c r="H58" s="93" t="s">
        <v>107</v>
      </c>
      <c r="I58" s="93" t="s">
        <v>107</v>
      </c>
      <c r="J58" s="93" t="s">
        <v>107</v>
      </c>
      <c r="K58" s="93" t="s">
        <v>107</v>
      </c>
      <c r="L58" s="95" t="s">
        <v>107</v>
      </c>
      <c r="M58" s="93" t="s">
        <v>107</v>
      </c>
      <c r="N58" s="93" t="s">
        <v>107</v>
      </c>
      <c r="O58" s="93" t="s">
        <v>107</v>
      </c>
      <c r="P58" s="93" t="s">
        <v>107</v>
      </c>
      <c r="Q58" s="93" t="s">
        <v>107</v>
      </c>
      <c r="R58" s="93" t="s">
        <v>107</v>
      </c>
      <c r="S58" s="93" t="s">
        <v>107</v>
      </c>
      <c r="T58" s="93">
        <v>15160882</v>
      </c>
      <c r="U58" s="110">
        <f t="shared" si="1"/>
        <v>30460882</v>
      </c>
      <c r="W58" s="96"/>
    </row>
    <row r="59" spans="1:23" s="3" customFormat="1" ht="37.5">
      <c r="A59" s="175" t="s">
        <v>198</v>
      </c>
      <c r="B59" s="93" t="s">
        <v>107</v>
      </c>
      <c r="C59" s="93" t="s">
        <v>107</v>
      </c>
      <c r="D59" s="93" t="s">
        <v>107</v>
      </c>
      <c r="E59" s="93" t="s">
        <v>107</v>
      </c>
      <c r="F59" s="93" t="s">
        <v>107</v>
      </c>
      <c r="G59" s="93" t="s">
        <v>107</v>
      </c>
      <c r="H59" s="93" t="s">
        <v>107</v>
      </c>
      <c r="I59" s="93" t="s">
        <v>107</v>
      </c>
      <c r="J59" s="93" t="s">
        <v>107</v>
      </c>
      <c r="K59" s="93" t="s">
        <v>107</v>
      </c>
      <c r="L59" s="95" t="s">
        <v>107</v>
      </c>
      <c r="M59" s="93" t="s">
        <v>107</v>
      </c>
      <c r="N59" s="93" t="s">
        <v>107</v>
      </c>
      <c r="O59" s="93" t="s">
        <v>107</v>
      </c>
      <c r="P59" s="93" t="s">
        <v>107</v>
      </c>
      <c r="Q59" s="93" t="s">
        <v>107</v>
      </c>
      <c r="R59" s="93" t="s">
        <v>107</v>
      </c>
      <c r="S59" s="93" t="s">
        <v>107</v>
      </c>
      <c r="T59" s="93">
        <v>28522838</v>
      </c>
      <c r="U59" s="110">
        <f t="shared" si="1"/>
        <v>28522838</v>
      </c>
      <c r="W59" s="96"/>
    </row>
    <row r="60" spans="1:23" s="3" customFormat="1" ht="36">
      <c r="A60" s="120" t="s">
        <v>71</v>
      </c>
      <c r="B60" s="93" t="s">
        <v>107</v>
      </c>
      <c r="C60" s="93">
        <v>10770905</v>
      </c>
      <c r="D60" s="93" t="s">
        <v>107</v>
      </c>
      <c r="E60" s="93" t="s">
        <v>107</v>
      </c>
      <c r="F60" s="93" t="s">
        <v>107</v>
      </c>
      <c r="G60" s="93" t="s">
        <v>107</v>
      </c>
      <c r="H60" s="93" t="s">
        <v>107</v>
      </c>
      <c r="I60" s="93" t="s">
        <v>107</v>
      </c>
      <c r="J60" s="93" t="s">
        <v>107</v>
      </c>
      <c r="K60" s="93" t="s">
        <v>107</v>
      </c>
      <c r="L60" s="95" t="s">
        <v>107</v>
      </c>
      <c r="M60" s="93" t="s">
        <v>107</v>
      </c>
      <c r="N60" s="93" t="s">
        <v>107</v>
      </c>
      <c r="O60" s="93" t="s">
        <v>107</v>
      </c>
      <c r="P60" s="93" t="s">
        <v>107</v>
      </c>
      <c r="Q60" s="93" t="s">
        <v>107</v>
      </c>
      <c r="R60" s="93" t="s">
        <v>107</v>
      </c>
      <c r="S60" s="93" t="s">
        <v>107</v>
      </c>
      <c r="T60" s="93">
        <v>17570000</v>
      </c>
      <c r="U60" s="110">
        <f t="shared" si="1"/>
        <v>28340905</v>
      </c>
      <c r="W60" s="96"/>
    </row>
    <row r="61" spans="1:23" s="3" customFormat="1" ht="36">
      <c r="A61" s="120" t="s">
        <v>179</v>
      </c>
      <c r="B61" s="93" t="s">
        <v>107</v>
      </c>
      <c r="C61" s="93" t="s">
        <v>107</v>
      </c>
      <c r="D61" s="93" t="s">
        <v>107</v>
      </c>
      <c r="E61" s="93" t="s">
        <v>107</v>
      </c>
      <c r="F61" s="93">
        <v>5884810</v>
      </c>
      <c r="G61" s="93" t="s">
        <v>107</v>
      </c>
      <c r="H61" s="93" t="s">
        <v>107</v>
      </c>
      <c r="I61" s="93" t="s">
        <v>107</v>
      </c>
      <c r="J61" s="93" t="s">
        <v>107</v>
      </c>
      <c r="K61" s="93" t="s">
        <v>107</v>
      </c>
      <c r="L61" s="95" t="s">
        <v>107</v>
      </c>
      <c r="M61" s="93" t="s">
        <v>107</v>
      </c>
      <c r="N61" s="93" t="s">
        <v>107</v>
      </c>
      <c r="O61" s="93" t="s">
        <v>107</v>
      </c>
      <c r="P61" s="93" t="s">
        <v>107</v>
      </c>
      <c r="Q61" s="93" t="s">
        <v>107</v>
      </c>
      <c r="R61" s="93" t="s">
        <v>107</v>
      </c>
      <c r="S61" s="93" t="s">
        <v>107</v>
      </c>
      <c r="T61" s="93">
        <v>10250027</v>
      </c>
      <c r="U61" s="110">
        <f t="shared" si="1"/>
        <v>16134837</v>
      </c>
      <c r="W61" s="96"/>
    </row>
    <row r="62" spans="1:23" s="3" customFormat="1" ht="36">
      <c r="A62" s="121" t="s">
        <v>241</v>
      </c>
      <c r="B62" s="93" t="s">
        <v>107</v>
      </c>
      <c r="C62" s="93">
        <v>958681</v>
      </c>
      <c r="D62" s="93">
        <v>174546</v>
      </c>
      <c r="E62" s="93" t="s">
        <v>107</v>
      </c>
      <c r="F62" s="93" t="s">
        <v>107</v>
      </c>
      <c r="G62" s="93" t="s">
        <v>107</v>
      </c>
      <c r="H62" s="93">
        <v>1890794</v>
      </c>
      <c r="I62" s="93" t="s">
        <v>107</v>
      </c>
      <c r="J62" s="93" t="s">
        <v>107</v>
      </c>
      <c r="K62" s="93" t="s">
        <v>107</v>
      </c>
      <c r="L62" s="95" t="s">
        <v>107</v>
      </c>
      <c r="M62" s="93" t="s">
        <v>107</v>
      </c>
      <c r="N62" s="93" t="s">
        <v>107</v>
      </c>
      <c r="O62" s="93" t="s">
        <v>107</v>
      </c>
      <c r="P62" s="93" t="s">
        <v>107</v>
      </c>
      <c r="Q62" s="93" t="s">
        <v>107</v>
      </c>
      <c r="R62" s="93" t="s">
        <v>107</v>
      </c>
      <c r="S62" s="93" t="s">
        <v>107</v>
      </c>
      <c r="T62" s="93">
        <v>10244854</v>
      </c>
      <c r="U62" s="110">
        <f t="shared" si="1"/>
        <v>13268875</v>
      </c>
      <c r="W62" s="96"/>
    </row>
    <row r="63" spans="1:23" s="3" customFormat="1" ht="36">
      <c r="A63" s="121" t="s">
        <v>238</v>
      </c>
      <c r="B63" s="93" t="s">
        <v>107</v>
      </c>
      <c r="C63" s="93" t="s">
        <v>107</v>
      </c>
      <c r="D63" s="93" t="s">
        <v>107</v>
      </c>
      <c r="E63" s="93" t="s">
        <v>107</v>
      </c>
      <c r="F63" s="93">
        <v>2132203</v>
      </c>
      <c r="G63" s="93" t="s">
        <v>107</v>
      </c>
      <c r="H63" s="93" t="s">
        <v>107</v>
      </c>
      <c r="I63" s="93">
        <v>8458035</v>
      </c>
      <c r="J63" s="93" t="s">
        <v>107</v>
      </c>
      <c r="K63" s="93" t="s">
        <v>107</v>
      </c>
      <c r="L63" s="95" t="s">
        <v>107</v>
      </c>
      <c r="M63" s="93" t="s">
        <v>107</v>
      </c>
      <c r="N63" s="93" t="s">
        <v>107</v>
      </c>
      <c r="O63" s="93" t="s">
        <v>107</v>
      </c>
      <c r="P63" s="93" t="s">
        <v>107</v>
      </c>
      <c r="Q63" s="93" t="s">
        <v>107</v>
      </c>
      <c r="R63" s="93" t="s">
        <v>107</v>
      </c>
      <c r="S63" s="93" t="s">
        <v>107</v>
      </c>
      <c r="T63" s="93">
        <v>561106</v>
      </c>
      <c r="U63" s="110">
        <f t="shared" si="1"/>
        <v>11151344</v>
      </c>
      <c r="W63" s="96"/>
    </row>
    <row r="64" spans="1:23" s="3" customFormat="1" ht="36">
      <c r="A64" s="119" t="s">
        <v>233</v>
      </c>
      <c r="B64" s="93" t="s">
        <v>107</v>
      </c>
      <c r="C64" s="93" t="s">
        <v>107</v>
      </c>
      <c r="D64" s="93" t="s">
        <v>107</v>
      </c>
      <c r="E64" s="93" t="s">
        <v>107</v>
      </c>
      <c r="F64" s="93" t="s">
        <v>107</v>
      </c>
      <c r="G64" s="93" t="s">
        <v>107</v>
      </c>
      <c r="H64" s="93" t="s">
        <v>107</v>
      </c>
      <c r="I64" s="93" t="s">
        <v>107</v>
      </c>
      <c r="J64" s="93" t="s">
        <v>107</v>
      </c>
      <c r="K64" s="93" t="s">
        <v>107</v>
      </c>
      <c r="L64" s="95" t="s">
        <v>107</v>
      </c>
      <c r="M64" s="93" t="s">
        <v>107</v>
      </c>
      <c r="N64" s="93" t="s">
        <v>107</v>
      </c>
      <c r="O64" s="93" t="s">
        <v>107</v>
      </c>
      <c r="P64" s="93" t="s">
        <v>107</v>
      </c>
      <c r="Q64" s="93" t="s">
        <v>107</v>
      </c>
      <c r="R64" s="93" t="s">
        <v>107</v>
      </c>
      <c r="S64" s="93" t="s">
        <v>107</v>
      </c>
      <c r="T64" s="93">
        <v>7614973</v>
      </c>
      <c r="U64" s="110">
        <f t="shared" si="1"/>
        <v>7614973</v>
      </c>
      <c r="W64" s="96"/>
    </row>
    <row r="65" spans="1:23" s="3" customFormat="1" ht="37.5">
      <c r="A65" s="176" t="s">
        <v>274</v>
      </c>
      <c r="B65" s="100" t="s">
        <v>107</v>
      </c>
      <c r="C65" s="93">
        <v>4369000</v>
      </c>
      <c r="D65" s="93" t="s">
        <v>107</v>
      </c>
      <c r="E65" s="93" t="s">
        <v>107</v>
      </c>
      <c r="F65" s="93" t="s">
        <v>107</v>
      </c>
      <c r="G65" s="93" t="s">
        <v>107</v>
      </c>
      <c r="H65" s="93">
        <v>2702496</v>
      </c>
      <c r="I65" s="93" t="s">
        <v>107</v>
      </c>
      <c r="J65" s="93" t="s">
        <v>107</v>
      </c>
      <c r="K65" s="93" t="s">
        <v>107</v>
      </c>
      <c r="L65" s="95" t="s">
        <v>107</v>
      </c>
      <c r="M65" s="93" t="s">
        <v>107</v>
      </c>
      <c r="N65" s="93" t="s">
        <v>107</v>
      </c>
      <c r="O65" s="93" t="s">
        <v>107</v>
      </c>
      <c r="P65" s="99" t="s">
        <v>107</v>
      </c>
      <c r="Q65" s="100" t="s">
        <v>107</v>
      </c>
      <c r="R65" s="93" t="s">
        <v>107</v>
      </c>
      <c r="S65" s="93" t="s">
        <v>107</v>
      </c>
      <c r="T65" s="93">
        <v>35887</v>
      </c>
      <c r="U65" s="110">
        <f t="shared" si="1"/>
        <v>7107383</v>
      </c>
      <c r="W65" s="96"/>
    </row>
    <row r="66" spans="1:23" s="3" customFormat="1" ht="37.5">
      <c r="A66" s="177" t="s">
        <v>275</v>
      </c>
      <c r="B66" s="98" t="s">
        <v>107</v>
      </c>
      <c r="C66" s="93" t="s">
        <v>107</v>
      </c>
      <c r="D66" s="93" t="s">
        <v>107</v>
      </c>
      <c r="E66" s="93" t="s">
        <v>107</v>
      </c>
      <c r="F66" s="93" t="s">
        <v>107</v>
      </c>
      <c r="G66" s="93">
        <v>5671487</v>
      </c>
      <c r="H66" s="93" t="s">
        <v>107</v>
      </c>
      <c r="I66" s="93" t="s">
        <v>107</v>
      </c>
      <c r="J66" s="93" t="s">
        <v>107</v>
      </c>
      <c r="K66" s="93" t="s">
        <v>107</v>
      </c>
      <c r="L66" s="95" t="s">
        <v>107</v>
      </c>
      <c r="M66" s="93" t="s">
        <v>107</v>
      </c>
      <c r="N66" s="93" t="s">
        <v>107</v>
      </c>
      <c r="O66" s="93" t="s">
        <v>107</v>
      </c>
      <c r="P66" s="93" t="s">
        <v>107</v>
      </c>
      <c r="Q66" s="93" t="s">
        <v>107</v>
      </c>
      <c r="R66" s="93" t="s">
        <v>107</v>
      </c>
      <c r="S66" s="93" t="s">
        <v>107</v>
      </c>
      <c r="T66" s="93">
        <v>164489</v>
      </c>
      <c r="U66" s="110">
        <f t="shared" si="1"/>
        <v>5835976</v>
      </c>
      <c r="W66" s="96"/>
    </row>
    <row r="67" spans="1:23" s="3" customFormat="1" ht="36">
      <c r="A67" s="121" t="s">
        <v>236</v>
      </c>
      <c r="B67" s="93" t="s">
        <v>107</v>
      </c>
      <c r="C67" s="93" t="s">
        <v>107</v>
      </c>
      <c r="D67" s="93" t="s">
        <v>107</v>
      </c>
      <c r="E67" s="93" t="s">
        <v>107</v>
      </c>
      <c r="F67" s="93" t="s">
        <v>107</v>
      </c>
      <c r="G67" s="93">
        <v>5418001</v>
      </c>
      <c r="H67" s="93" t="s">
        <v>107</v>
      </c>
      <c r="I67" s="93" t="s">
        <v>107</v>
      </c>
      <c r="J67" s="93" t="s">
        <v>107</v>
      </c>
      <c r="K67" s="93" t="s">
        <v>107</v>
      </c>
      <c r="L67" s="95" t="s">
        <v>107</v>
      </c>
      <c r="M67" s="93" t="s">
        <v>107</v>
      </c>
      <c r="N67" s="93" t="s">
        <v>107</v>
      </c>
      <c r="O67" s="93" t="s">
        <v>107</v>
      </c>
      <c r="P67" s="93" t="s">
        <v>107</v>
      </c>
      <c r="Q67" s="93" t="s">
        <v>107</v>
      </c>
      <c r="R67" s="93" t="s">
        <v>107</v>
      </c>
      <c r="S67" s="93" t="s">
        <v>107</v>
      </c>
      <c r="T67" s="93">
        <v>73081</v>
      </c>
      <c r="U67" s="110">
        <f t="shared" si="1"/>
        <v>5491082</v>
      </c>
      <c r="W67" s="96"/>
    </row>
    <row r="68" spans="1:23" s="3" customFormat="1" ht="37.5">
      <c r="A68" s="178" t="s">
        <v>247</v>
      </c>
      <c r="B68" s="98" t="s">
        <v>107</v>
      </c>
      <c r="C68" s="93" t="s">
        <v>107</v>
      </c>
      <c r="D68" s="93" t="s">
        <v>107</v>
      </c>
      <c r="E68" s="93" t="s">
        <v>107</v>
      </c>
      <c r="F68" s="93" t="s">
        <v>107</v>
      </c>
      <c r="G68" s="93" t="s">
        <v>107</v>
      </c>
      <c r="H68" s="93" t="s">
        <v>107</v>
      </c>
      <c r="I68" s="93" t="s">
        <v>107</v>
      </c>
      <c r="J68" s="93" t="s">
        <v>107</v>
      </c>
      <c r="K68" s="93">
        <v>1790620</v>
      </c>
      <c r="L68" s="95" t="s">
        <v>107</v>
      </c>
      <c r="M68" s="93" t="s">
        <v>107</v>
      </c>
      <c r="N68" s="93" t="s">
        <v>107</v>
      </c>
      <c r="O68" s="93" t="s">
        <v>107</v>
      </c>
      <c r="P68" s="99" t="s">
        <v>107</v>
      </c>
      <c r="Q68" s="100" t="s">
        <v>107</v>
      </c>
      <c r="R68" s="93" t="s">
        <v>107</v>
      </c>
      <c r="S68" s="93" t="s">
        <v>107</v>
      </c>
      <c r="T68" s="93">
        <v>3667611</v>
      </c>
      <c r="U68" s="110">
        <f t="shared" si="1"/>
        <v>5458231</v>
      </c>
      <c r="W68" s="96"/>
    </row>
    <row r="69" spans="1:23" s="3" customFormat="1" ht="37.5">
      <c r="A69" s="179" t="s">
        <v>276</v>
      </c>
      <c r="B69" s="93" t="s">
        <v>107</v>
      </c>
      <c r="C69" s="93">
        <v>2933338</v>
      </c>
      <c r="D69" s="93" t="s">
        <v>107</v>
      </c>
      <c r="E69" s="93" t="s">
        <v>107</v>
      </c>
      <c r="F69" s="93">
        <v>1466662</v>
      </c>
      <c r="G69" s="93" t="s">
        <v>107</v>
      </c>
      <c r="H69" s="93" t="s">
        <v>107</v>
      </c>
      <c r="I69" s="93" t="s">
        <v>107</v>
      </c>
      <c r="J69" s="93" t="s">
        <v>107</v>
      </c>
      <c r="K69" s="93" t="s">
        <v>107</v>
      </c>
      <c r="L69" s="95" t="s">
        <v>107</v>
      </c>
      <c r="M69" s="93" t="s">
        <v>107</v>
      </c>
      <c r="N69" s="93" t="s">
        <v>107</v>
      </c>
      <c r="O69" s="93" t="s">
        <v>107</v>
      </c>
      <c r="P69" s="99" t="s">
        <v>107</v>
      </c>
      <c r="Q69" s="100" t="s">
        <v>107</v>
      </c>
      <c r="R69" s="93" t="s">
        <v>107</v>
      </c>
      <c r="S69" s="93" t="s">
        <v>107</v>
      </c>
      <c r="T69" s="93" t="s">
        <v>107</v>
      </c>
      <c r="U69" s="110">
        <f t="shared" ref="U69:U76" si="2">SUM(B69:T69)</f>
        <v>4400000</v>
      </c>
      <c r="W69" s="96"/>
    </row>
    <row r="70" spans="1:23" s="3" customFormat="1" ht="18.75">
      <c r="A70" s="180" t="s">
        <v>49</v>
      </c>
      <c r="B70" s="98" t="s">
        <v>107</v>
      </c>
      <c r="C70" s="93" t="s">
        <v>107</v>
      </c>
      <c r="D70" s="93" t="s">
        <v>107</v>
      </c>
      <c r="E70" s="93" t="s">
        <v>107</v>
      </c>
      <c r="F70" s="93" t="s">
        <v>107</v>
      </c>
      <c r="G70" s="93" t="s">
        <v>107</v>
      </c>
      <c r="H70" s="93" t="s">
        <v>107</v>
      </c>
      <c r="I70" s="93" t="s">
        <v>107</v>
      </c>
      <c r="J70" s="93" t="s">
        <v>107</v>
      </c>
      <c r="K70" s="93" t="s">
        <v>107</v>
      </c>
      <c r="L70" s="95" t="s">
        <v>107</v>
      </c>
      <c r="M70" s="93" t="s">
        <v>107</v>
      </c>
      <c r="N70" s="93" t="s">
        <v>107</v>
      </c>
      <c r="O70" s="93" t="s">
        <v>107</v>
      </c>
      <c r="P70" s="93" t="s">
        <v>107</v>
      </c>
      <c r="Q70" s="93" t="s">
        <v>107</v>
      </c>
      <c r="R70" s="93" t="s">
        <v>107</v>
      </c>
      <c r="S70" s="93" t="s">
        <v>107</v>
      </c>
      <c r="T70" s="93">
        <v>4157819</v>
      </c>
      <c r="U70" s="110">
        <f t="shared" si="2"/>
        <v>4157819</v>
      </c>
      <c r="W70" s="96"/>
    </row>
    <row r="71" spans="1:23" s="3" customFormat="1" ht="36">
      <c r="A71" s="121" t="s">
        <v>186</v>
      </c>
      <c r="B71" s="93" t="s">
        <v>107</v>
      </c>
      <c r="C71" s="93" t="s">
        <v>107</v>
      </c>
      <c r="D71" s="93" t="s">
        <v>107</v>
      </c>
      <c r="E71" s="93" t="s">
        <v>107</v>
      </c>
      <c r="F71" s="93" t="s">
        <v>107</v>
      </c>
      <c r="G71" s="93" t="s">
        <v>107</v>
      </c>
      <c r="H71" s="93" t="s">
        <v>107</v>
      </c>
      <c r="I71" s="93" t="s">
        <v>107</v>
      </c>
      <c r="J71" s="93" t="s">
        <v>107</v>
      </c>
      <c r="K71" s="93" t="s">
        <v>107</v>
      </c>
      <c r="L71" s="95" t="s">
        <v>107</v>
      </c>
      <c r="M71" s="93" t="s">
        <v>107</v>
      </c>
      <c r="N71" s="93" t="s">
        <v>107</v>
      </c>
      <c r="O71" s="93" t="s">
        <v>107</v>
      </c>
      <c r="P71" s="93" t="s">
        <v>107</v>
      </c>
      <c r="Q71" s="93" t="s">
        <v>107</v>
      </c>
      <c r="R71" s="93" t="s">
        <v>107</v>
      </c>
      <c r="S71" s="93" t="s">
        <v>107</v>
      </c>
      <c r="T71" s="93">
        <v>1822804</v>
      </c>
      <c r="U71" s="110">
        <f t="shared" si="2"/>
        <v>1822804</v>
      </c>
      <c r="W71" s="96"/>
    </row>
    <row r="72" spans="1:23" s="3" customFormat="1" ht="36">
      <c r="A72" s="121" t="s">
        <v>235</v>
      </c>
      <c r="B72" s="93" t="s">
        <v>107</v>
      </c>
      <c r="C72" s="93" t="s">
        <v>107</v>
      </c>
      <c r="D72" s="93" t="s">
        <v>107</v>
      </c>
      <c r="E72" s="93" t="s">
        <v>107</v>
      </c>
      <c r="F72" s="93" t="s">
        <v>107</v>
      </c>
      <c r="G72" s="93" t="s">
        <v>107</v>
      </c>
      <c r="H72" s="93" t="s">
        <v>107</v>
      </c>
      <c r="I72" s="93" t="s">
        <v>107</v>
      </c>
      <c r="J72" s="93" t="s">
        <v>107</v>
      </c>
      <c r="K72" s="93" t="s">
        <v>107</v>
      </c>
      <c r="L72" s="95" t="s">
        <v>107</v>
      </c>
      <c r="M72" s="93" t="s">
        <v>107</v>
      </c>
      <c r="N72" s="93" t="s">
        <v>107</v>
      </c>
      <c r="O72" s="93" t="s">
        <v>107</v>
      </c>
      <c r="P72" s="93" t="s">
        <v>107</v>
      </c>
      <c r="Q72" s="93" t="s">
        <v>107</v>
      </c>
      <c r="R72" s="93" t="s">
        <v>107</v>
      </c>
      <c r="S72" s="93" t="s">
        <v>107</v>
      </c>
      <c r="T72" s="93">
        <v>1471811</v>
      </c>
      <c r="U72" s="110">
        <f t="shared" si="2"/>
        <v>1471811</v>
      </c>
      <c r="W72" s="96"/>
    </row>
    <row r="73" spans="1:23" s="3" customFormat="1" ht="36">
      <c r="A73" s="121" t="s">
        <v>239</v>
      </c>
      <c r="B73" s="93" t="s">
        <v>107</v>
      </c>
      <c r="C73" s="93" t="s">
        <v>107</v>
      </c>
      <c r="D73" s="93" t="s">
        <v>107</v>
      </c>
      <c r="E73" s="93" t="s">
        <v>107</v>
      </c>
      <c r="F73" s="93" t="s">
        <v>107</v>
      </c>
      <c r="G73" s="93" t="s">
        <v>107</v>
      </c>
      <c r="H73" s="93" t="s">
        <v>107</v>
      </c>
      <c r="I73" s="93" t="s">
        <v>107</v>
      </c>
      <c r="J73" s="93" t="s">
        <v>107</v>
      </c>
      <c r="K73" s="93" t="s">
        <v>107</v>
      </c>
      <c r="L73" s="95" t="s">
        <v>107</v>
      </c>
      <c r="M73" s="93" t="s">
        <v>107</v>
      </c>
      <c r="N73" s="93" t="s">
        <v>107</v>
      </c>
      <c r="O73" s="93" t="s">
        <v>107</v>
      </c>
      <c r="P73" s="93" t="s">
        <v>107</v>
      </c>
      <c r="Q73" s="93" t="s">
        <v>107</v>
      </c>
      <c r="R73" s="93" t="s">
        <v>107</v>
      </c>
      <c r="S73" s="93" t="s">
        <v>107</v>
      </c>
      <c r="T73" s="93">
        <v>421408</v>
      </c>
      <c r="U73" s="110">
        <f t="shared" si="2"/>
        <v>421408</v>
      </c>
      <c r="W73" s="96"/>
    </row>
    <row r="74" spans="1:23" s="3" customFormat="1" ht="36">
      <c r="A74" s="121" t="s">
        <v>78</v>
      </c>
      <c r="B74" s="93" t="s">
        <v>107</v>
      </c>
      <c r="C74" s="93">
        <v>312603</v>
      </c>
      <c r="D74" s="93" t="s">
        <v>107</v>
      </c>
      <c r="E74" s="93" t="s">
        <v>107</v>
      </c>
      <c r="F74" s="93" t="s">
        <v>107</v>
      </c>
      <c r="G74" s="93" t="s">
        <v>107</v>
      </c>
      <c r="H74" s="93" t="s">
        <v>107</v>
      </c>
      <c r="I74" s="93" t="s">
        <v>107</v>
      </c>
      <c r="J74" s="93" t="s">
        <v>107</v>
      </c>
      <c r="K74" s="93" t="s">
        <v>107</v>
      </c>
      <c r="L74" s="95" t="s">
        <v>107</v>
      </c>
      <c r="M74" s="93" t="s">
        <v>107</v>
      </c>
      <c r="N74" s="93" t="s">
        <v>107</v>
      </c>
      <c r="O74" s="93" t="s">
        <v>107</v>
      </c>
      <c r="P74" s="93" t="s">
        <v>107</v>
      </c>
      <c r="Q74" s="93" t="s">
        <v>107</v>
      </c>
      <c r="R74" s="93" t="s">
        <v>107</v>
      </c>
      <c r="S74" s="93" t="s">
        <v>107</v>
      </c>
      <c r="T74" s="93" t="s">
        <v>107</v>
      </c>
      <c r="U74" s="110">
        <f t="shared" si="2"/>
        <v>312603</v>
      </c>
      <c r="W74" s="96"/>
    </row>
    <row r="75" spans="1:23" s="3" customFormat="1" ht="36">
      <c r="A75" s="127" t="s">
        <v>125</v>
      </c>
      <c r="B75" s="93" t="s">
        <v>107</v>
      </c>
      <c r="C75" s="93" t="s">
        <v>107</v>
      </c>
      <c r="D75" s="93" t="s">
        <v>107</v>
      </c>
      <c r="E75" s="93" t="s">
        <v>107</v>
      </c>
      <c r="F75" s="93" t="s">
        <v>107</v>
      </c>
      <c r="G75" s="93" t="s">
        <v>107</v>
      </c>
      <c r="H75" s="93" t="s">
        <v>107</v>
      </c>
      <c r="I75" s="93" t="s">
        <v>107</v>
      </c>
      <c r="J75" s="93" t="s">
        <v>107</v>
      </c>
      <c r="K75" s="93" t="s">
        <v>107</v>
      </c>
      <c r="L75" s="95" t="s">
        <v>107</v>
      </c>
      <c r="M75" s="93" t="s">
        <v>107</v>
      </c>
      <c r="N75" s="93" t="s">
        <v>107</v>
      </c>
      <c r="O75" s="93" t="s">
        <v>107</v>
      </c>
      <c r="P75" s="93" t="s">
        <v>107</v>
      </c>
      <c r="Q75" s="93" t="s">
        <v>107</v>
      </c>
      <c r="R75" s="93" t="s">
        <v>107</v>
      </c>
      <c r="S75" s="93" t="s">
        <v>107</v>
      </c>
      <c r="T75" s="93">
        <v>71914</v>
      </c>
      <c r="U75" s="110">
        <f t="shared" si="2"/>
        <v>71914</v>
      </c>
      <c r="W75" s="96"/>
    </row>
    <row r="76" spans="1:23" s="3" customFormat="1" ht="37.5">
      <c r="A76" s="178" t="s">
        <v>277</v>
      </c>
      <c r="B76" s="98" t="s">
        <v>107</v>
      </c>
      <c r="C76" s="93" t="s">
        <v>107</v>
      </c>
      <c r="D76" s="93" t="s">
        <v>107</v>
      </c>
      <c r="E76" s="93" t="s">
        <v>107</v>
      </c>
      <c r="F76" s="93" t="s">
        <v>107</v>
      </c>
      <c r="G76" s="93" t="s">
        <v>107</v>
      </c>
      <c r="H76" s="93" t="s">
        <v>107</v>
      </c>
      <c r="I76" s="93" t="s">
        <v>107</v>
      </c>
      <c r="J76" s="93" t="s">
        <v>107</v>
      </c>
      <c r="K76" s="93" t="s">
        <v>107</v>
      </c>
      <c r="L76" s="95" t="s">
        <v>107</v>
      </c>
      <c r="M76" s="93" t="s">
        <v>107</v>
      </c>
      <c r="N76" s="93" t="s">
        <v>107</v>
      </c>
      <c r="O76" s="93" t="s">
        <v>107</v>
      </c>
      <c r="P76" s="93" t="s">
        <v>107</v>
      </c>
      <c r="Q76" s="93" t="s">
        <v>107</v>
      </c>
      <c r="R76" s="93" t="s">
        <v>107</v>
      </c>
      <c r="S76" s="93" t="s">
        <v>107</v>
      </c>
      <c r="T76" s="93">
        <v>11989</v>
      </c>
      <c r="U76" s="110">
        <f t="shared" si="2"/>
        <v>11989</v>
      </c>
      <c r="W76" s="96"/>
    </row>
    <row r="77" spans="1:23" s="3" customFormat="1" ht="41.25" customHeight="1">
      <c r="A77" s="181" t="s">
        <v>280</v>
      </c>
      <c r="B77" s="182">
        <f t="shared" ref="B77:U77" si="3">SUM(B5:B76)</f>
        <v>34721520017</v>
      </c>
      <c r="C77" s="110">
        <f t="shared" si="3"/>
        <v>24062476397</v>
      </c>
      <c r="D77" s="110">
        <f t="shared" si="3"/>
        <v>14086871556</v>
      </c>
      <c r="E77" s="110">
        <f t="shared" si="3"/>
        <v>13164854418</v>
      </c>
      <c r="F77" s="110">
        <f t="shared" si="3"/>
        <v>12321755968</v>
      </c>
      <c r="G77" s="110">
        <f t="shared" si="3"/>
        <v>6688764040</v>
      </c>
      <c r="H77" s="110">
        <f t="shared" si="3"/>
        <v>6343209094</v>
      </c>
      <c r="I77" s="110">
        <f t="shared" si="3"/>
        <v>6136559060</v>
      </c>
      <c r="J77" s="110">
        <f t="shared" si="3"/>
        <v>4673118748</v>
      </c>
      <c r="K77" s="110">
        <f t="shared" si="3"/>
        <v>4508876368</v>
      </c>
      <c r="L77" s="183">
        <f t="shared" si="3"/>
        <v>1474942202</v>
      </c>
      <c r="M77" s="110">
        <f t="shared" si="3"/>
        <v>729932255</v>
      </c>
      <c r="N77" s="110">
        <f t="shared" si="3"/>
        <v>729400000</v>
      </c>
      <c r="O77" s="110">
        <f t="shared" si="3"/>
        <v>227964918</v>
      </c>
      <c r="P77" s="184">
        <f t="shared" si="3"/>
        <v>218812954</v>
      </c>
      <c r="Q77" s="182">
        <f t="shared" si="3"/>
        <v>92348155</v>
      </c>
      <c r="R77" s="110">
        <f t="shared" si="3"/>
        <v>50111162</v>
      </c>
      <c r="S77" s="110">
        <f t="shared" si="3"/>
        <v>46992238</v>
      </c>
      <c r="T77" s="183">
        <f t="shared" si="3"/>
        <v>71809404875</v>
      </c>
      <c r="U77" s="110">
        <f t="shared" si="3"/>
        <v>202087914425</v>
      </c>
      <c r="W77" s="96"/>
    </row>
    <row r="78" spans="1:23" ht="38.25" customHeight="1">
      <c r="W78" s="5"/>
    </row>
    <row r="79" spans="1:23" ht="38.25" customHeight="1">
      <c r="A79" s="438" t="s">
        <v>246</v>
      </c>
      <c r="B79" s="438"/>
      <c r="C79" s="438"/>
      <c r="D79" s="438"/>
      <c r="E79" s="438"/>
      <c r="F79" s="438"/>
      <c r="W79" s="5"/>
    </row>
    <row r="80" spans="1:23" ht="45" customHeight="1" thickBot="1"/>
    <row r="81" spans="1:23" ht="79.5" thickBot="1">
      <c r="A81" s="117" t="s">
        <v>278</v>
      </c>
      <c r="B81" s="225" t="s">
        <v>291</v>
      </c>
      <c r="C81" s="8" t="s">
        <v>308</v>
      </c>
      <c r="D81" s="8" t="s">
        <v>309</v>
      </c>
      <c r="E81" s="8" t="s">
        <v>310</v>
      </c>
      <c r="F81" s="8" t="s">
        <v>311</v>
      </c>
      <c r="G81" s="8" t="s">
        <v>312</v>
      </c>
      <c r="H81" s="8" t="s">
        <v>290</v>
      </c>
      <c r="I81" s="8" t="s">
        <v>294</v>
      </c>
      <c r="J81" s="8" t="s">
        <v>313</v>
      </c>
      <c r="K81" s="8" t="s">
        <v>314</v>
      </c>
      <c r="L81" s="223" t="s">
        <v>315</v>
      </c>
      <c r="M81" s="8" t="s">
        <v>316</v>
      </c>
      <c r="N81" s="8" t="s">
        <v>317</v>
      </c>
      <c r="O81" s="8" t="s">
        <v>318</v>
      </c>
      <c r="P81" s="226" t="s">
        <v>319</v>
      </c>
      <c r="Q81" s="225" t="s">
        <v>320</v>
      </c>
      <c r="R81" s="8" t="s">
        <v>321</v>
      </c>
      <c r="S81" s="8" t="s">
        <v>305</v>
      </c>
      <c r="T81" s="8" t="s">
        <v>307</v>
      </c>
      <c r="U81" s="8" t="s">
        <v>45</v>
      </c>
      <c r="W81" s="5"/>
    </row>
    <row r="82" spans="1:23" ht="36">
      <c r="A82" s="128" t="s">
        <v>208</v>
      </c>
      <c r="B82" s="190">
        <v>3383702655</v>
      </c>
      <c r="C82" s="190">
        <v>2594533364</v>
      </c>
      <c r="D82" s="190">
        <v>4332445499</v>
      </c>
      <c r="E82" s="190">
        <v>1220343475</v>
      </c>
      <c r="F82" s="190">
        <v>2885816873</v>
      </c>
      <c r="G82" s="190">
        <v>2404215379</v>
      </c>
      <c r="H82" s="190">
        <v>1838573842</v>
      </c>
      <c r="I82" s="190">
        <v>1093673498</v>
      </c>
      <c r="J82" s="190">
        <v>2971932996</v>
      </c>
      <c r="K82" s="190">
        <v>613564559</v>
      </c>
      <c r="L82" s="191">
        <v>1125463242</v>
      </c>
      <c r="M82" s="190">
        <v>397179378</v>
      </c>
      <c r="N82" s="190">
        <v>429138130</v>
      </c>
      <c r="O82" s="190">
        <v>0</v>
      </c>
      <c r="P82" s="190">
        <v>0</v>
      </c>
      <c r="Q82" s="190">
        <v>9552226</v>
      </c>
      <c r="R82" s="190">
        <v>53948011</v>
      </c>
      <c r="S82" s="190">
        <v>107000000</v>
      </c>
      <c r="T82" s="190">
        <v>13829640246</v>
      </c>
      <c r="U82" s="192">
        <v>39281171147</v>
      </c>
      <c r="W82" s="5"/>
    </row>
    <row r="83" spans="1:23" ht="36">
      <c r="A83" s="120" t="s">
        <v>60</v>
      </c>
      <c r="B83" s="190">
        <v>6237881454</v>
      </c>
      <c r="C83" s="190">
        <v>2491118480</v>
      </c>
      <c r="D83" s="190">
        <v>2255773623</v>
      </c>
      <c r="E83" s="190">
        <v>3054877072</v>
      </c>
      <c r="F83" s="190">
        <v>30081781</v>
      </c>
      <c r="G83" s="190">
        <v>3795290176</v>
      </c>
      <c r="H83" s="190">
        <v>277883414</v>
      </c>
      <c r="I83" s="190">
        <v>361099391</v>
      </c>
      <c r="J83" s="190">
        <v>23993962</v>
      </c>
      <c r="K83" s="190">
        <v>662115378</v>
      </c>
      <c r="L83" s="191">
        <v>48477731</v>
      </c>
      <c r="M83" s="190">
        <v>37454435</v>
      </c>
      <c r="N83" s="190">
        <v>27052645</v>
      </c>
      <c r="O83" s="190">
        <v>0</v>
      </c>
      <c r="P83" s="190">
        <v>803084</v>
      </c>
      <c r="Q83" s="190">
        <v>101300000</v>
      </c>
      <c r="R83" s="190">
        <v>41587546</v>
      </c>
      <c r="S83" s="190">
        <v>0</v>
      </c>
      <c r="T83" s="190">
        <v>11620522942</v>
      </c>
      <c r="U83" s="192">
        <v>31067312844</v>
      </c>
      <c r="W83" s="5"/>
    </row>
    <row r="84" spans="1:23" ht="36">
      <c r="A84" s="120" t="s">
        <v>61</v>
      </c>
      <c r="B84" s="190">
        <v>2165276087</v>
      </c>
      <c r="C84" s="190">
        <v>1587779406</v>
      </c>
      <c r="D84" s="190">
        <v>751216520</v>
      </c>
      <c r="E84" s="190">
        <v>997141804</v>
      </c>
      <c r="F84" s="190">
        <v>101356731</v>
      </c>
      <c r="G84" s="190">
        <v>560390677</v>
      </c>
      <c r="H84" s="190">
        <v>7305293447</v>
      </c>
      <c r="I84" s="190">
        <v>2039567207</v>
      </c>
      <c r="J84" s="190">
        <v>9269474</v>
      </c>
      <c r="K84" s="190">
        <v>659470844</v>
      </c>
      <c r="L84" s="191">
        <v>25600000</v>
      </c>
      <c r="M84" s="190">
        <v>28541301</v>
      </c>
      <c r="N84" s="190">
        <v>0</v>
      </c>
      <c r="O84" s="190">
        <v>123550000</v>
      </c>
      <c r="P84" s="190">
        <v>232269128</v>
      </c>
      <c r="Q84" s="190">
        <v>0</v>
      </c>
      <c r="R84" s="190">
        <v>0</v>
      </c>
      <c r="S84" s="190">
        <v>12253849</v>
      </c>
      <c r="T84" s="190">
        <v>10959834861</v>
      </c>
      <c r="U84" s="192">
        <v>27558811336</v>
      </c>
      <c r="W84" s="97"/>
    </row>
    <row r="85" spans="1:23" ht="36">
      <c r="A85" s="120" t="s">
        <v>63</v>
      </c>
      <c r="B85" s="190">
        <v>3466625146</v>
      </c>
      <c r="C85" s="190">
        <v>296187197</v>
      </c>
      <c r="D85" s="190">
        <v>143384674</v>
      </c>
      <c r="E85" s="190">
        <v>72599902</v>
      </c>
      <c r="F85" s="190">
        <v>92700753</v>
      </c>
      <c r="G85" s="190">
        <v>326104336</v>
      </c>
      <c r="H85" s="190">
        <v>90373957</v>
      </c>
      <c r="I85" s="190">
        <v>457153711</v>
      </c>
      <c r="J85" s="190">
        <v>215491117</v>
      </c>
      <c r="K85" s="190">
        <v>131628672</v>
      </c>
      <c r="L85" s="191">
        <v>0</v>
      </c>
      <c r="M85" s="190">
        <v>581126</v>
      </c>
      <c r="N85" s="190">
        <v>0</v>
      </c>
      <c r="O85" s="190">
        <v>0</v>
      </c>
      <c r="P85" s="190">
        <v>0</v>
      </c>
      <c r="Q85" s="190">
        <v>0</v>
      </c>
      <c r="R85" s="190">
        <v>1075647</v>
      </c>
      <c r="S85" s="190">
        <v>0</v>
      </c>
      <c r="T85" s="190">
        <v>3356659139</v>
      </c>
      <c r="U85" s="192">
        <v>8650565377</v>
      </c>
      <c r="W85" s="97"/>
    </row>
    <row r="86" spans="1:23" ht="36">
      <c r="A86" s="120" t="s">
        <v>62</v>
      </c>
      <c r="B86" s="190">
        <v>1887891182</v>
      </c>
      <c r="C86" s="190">
        <v>1733538057</v>
      </c>
      <c r="D86" s="190">
        <v>460834124</v>
      </c>
      <c r="E86" s="190">
        <v>623807392</v>
      </c>
      <c r="F86" s="190">
        <v>0</v>
      </c>
      <c r="G86" s="190">
        <v>2700000</v>
      </c>
      <c r="H86" s="190">
        <v>339000000</v>
      </c>
      <c r="I86" s="190">
        <v>7806208</v>
      </c>
      <c r="J86" s="190">
        <v>0</v>
      </c>
      <c r="K86" s="190">
        <v>137541171</v>
      </c>
      <c r="L86" s="191">
        <v>0</v>
      </c>
      <c r="M86" s="190">
        <v>4976690</v>
      </c>
      <c r="N86" s="190">
        <v>0</v>
      </c>
      <c r="O86" s="190">
        <v>0</v>
      </c>
      <c r="P86" s="190">
        <v>38190886</v>
      </c>
      <c r="Q86" s="190">
        <v>6034107</v>
      </c>
      <c r="R86" s="190">
        <v>4665282</v>
      </c>
      <c r="S86" s="190">
        <v>6816162</v>
      </c>
      <c r="T86" s="190">
        <v>2897854484</v>
      </c>
      <c r="U86" s="192">
        <v>8151655745</v>
      </c>
      <c r="W86" s="97"/>
    </row>
    <row r="87" spans="1:23" ht="36">
      <c r="A87" s="120" t="s">
        <v>64</v>
      </c>
      <c r="B87" s="190">
        <v>739146695</v>
      </c>
      <c r="C87" s="190">
        <v>183617396</v>
      </c>
      <c r="D87" s="190">
        <v>12300000</v>
      </c>
      <c r="E87" s="190">
        <v>26433757</v>
      </c>
      <c r="F87" s="190">
        <v>237301993</v>
      </c>
      <c r="G87" s="190">
        <v>207018302</v>
      </c>
      <c r="H87" s="190">
        <v>8159233</v>
      </c>
      <c r="I87" s="190">
        <v>241190367</v>
      </c>
      <c r="J87" s="190">
        <v>2047435</v>
      </c>
      <c r="K87" s="190">
        <v>47018194</v>
      </c>
      <c r="L87" s="191">
        <v>2063530</v>
      </c>
      <c r="M87" s="190">
        <v>174737</v>
      </c>
      <c r="N87" s="190">
        <v>256912000</v>
      </c>
      <c r="O87" s="190">
        <v>0</v>
      </c>
      <c r="P87" s="190">
        <v>0</v>
      </c>
      <c r="Q87" s="190">
        <v>0</v>
      </c>
      <c r="R87" s="190">
        <v>0</v>
      </c>
      <c r="S87" s="190">
        <v>0</v>
      </c>
      <c r="T87" s="190">
        <v>3764234325</v>
      </c>
      <c r="U87" s="192">
        <v>5727617964</v>
      </c>
      <c r="W87" s="97"/>
    </row>
    <row r="88" spans="1:23" ht="36">
      <c r="A88" s="120" t="s">
        <v>65</v>
      </c>
      <c r="B88" s="190">
        <v>1450256397</v>
      </c>
      <c r="C88" s="190">
        <v>311597016</v>
      </c>
      <c r="D88" s="190">
        <v>22818398</v>
      </c>
      <c r="E88" s="190">
        <v>113422211</v>
      </c>
      <c r="F88" s="190">
        <v>30421352</v>
      </c>
      <c r="G88" s="190">
        <v>11647900</v>
      </c>
      <c r="H88" s="190">
        <v>247761574</v>
      </c>
      <c r="I88" s="190">
        <v>292386004</v>
      </c>
      <c r="J88" s="190">
        <v>21818092</v>
      </c>
      <c r="K88" s="190">
        <v>67006894</v>
      </c>
      <c r="L88" s="191">
        <v>0</v>
      </c>
      <c r="M88" s="190">
        <v>75350000</v>
      </c>
      <c r="N88" s="190">
        <v>0</v>
      </c>
      <c r="O88" s="190">
        <v>0</v>
      </c>
      <c r="P88" s="190">
        <v>0</v>
      </c>
      <c r="Q88" s="190">
        <v>0</v>
      </c>
      <c r="R88" s="190">
        <v>0</v>
      </c>
      <c r="S88" s="190">
        <v>0</v>
      </c>
      <c r="T88" s="190">
        <v>1860239619</v>
      </c>
      <c r="U88" s="192">
        <v>4504725457</v>
      </c>
      <c r="W88" s="97"/>
    </row>
    <row r="89" spans="1:23" ht="36">
      <c r="A89" s="120" t="s">
        <v>210</v>
      </c>
      <c r="B89" s="190">
        <v>201283503</v>
      </c>
      <c r="C89" s="190">
        <v>91670939</v>
      </c>
      <c r="D89" s="190">
        <v>730741479</v>
      </c>
      <c r="E89" s="190">
        <v>12503772</v>
      </c>
      <c r="F89" s="190">
        <v>1697090350</v>
      </c>
      <c r="G89" s="190">
        <v>576928074</v>
      </c>
      <c r="H89" s="190">
        <v>4390285</v>
      </c>
      <c r="I89" s="190">
        <v>171713322</v>
      </c>
      <c r="J89" s="190">
        <v>140172794</v>
      </c>
      <c r="K89" s="190">
        <v>33011987</v>
      </c>
      <c r="L89" s="191">
        <v>0</v>
      </c>
      <c r="M89" s="190">
        <v>0</v>
      </c>
      <c r="N89" s="190">
        <v>0</v>
      </c>
      <c r="O89" s="190">
        <v>0</v>
      </c>
      <c r="P89" s="190">
        <v>0</v>
      </c>
      <c r="Q89" s="190">
        <v>0</v>
      </c>
      <c r="R89" s="190">
        <v>0</v>
      </c>
      <c r="S89" s="190">
        <v>0</v>
      </c>
      <c r="T89" s="190">
        <v>689685151</v>
      </c>
      <c r="U89" s="192">
        <v>4349191656</v>
      </c>
      <c r="W89" s="97"/>
    </row>
    <row r="90" spans="1:23" ht="36">
      <c r="A90" s="120" t="s">
        <v>212</v>
      </c>
      <c r="B90" s="190">
        <v>232896296</v>
      </c>
      <c r="C90" s="190">
        <v>239990728</v>
      </c>
      <c r="D90" s="190">
        <v>35700000</v>
      </c>
      <c r="E90" s="190">
        <v>30494555</v>
      </c>
      <c r="F90" s="190">
        <v>1129179</v>
      </c>
      <c r="G90" s="190">
        <v>8765312</v>
      </c>
      <c r="H90" s="190">
        <v>67036597</v>
      </c>
      <c r="I90" s="190">
        <v>0</v>
      </c>
      <c r="J90" s="190">
        <v>2799514</v>
      </c>
      <c r="K90" s="190">
        <v>10049792</v>
      </c>
      <c r="L90" s="191">
        <v>0</v>
      </c>
      <c r="M90" s="190">
        <v>14750000</v>
      </c>
      <c r="N90" s="190">
        <v>0</v>
      </c>
      <c r="O90" s="190">
        <v>0</v>
      </c>
      <c r="P90" s="190">
        <v>0</v>
      </c>
      <c r="Q90" s="190">
        <v>0</v>
      </c>
      <c r="R90" s="190">
        <v>0</v>
      </c>
      <c r="S90" s="190">
        <v>0</v>
      </c>
      <c r="T90" s="190">
        <v>2349644328</v>
      </c>
      <c r="U90" s="192">
        <v>2993256301</v>
      </c>
    </row>
    <row r="91" spans="1:23" ht="36">
      <c r="A91" s="121" t="s">
        <v>151</v>
      </c>
      <c r="B91" s="190">
        <v>198567045</v>
      </c>
      <c r="C91" s="190">
        <v>4150507</v>
      </c>
      <c r="D91" s="190">
        <v>1510000</v>
      </c>
      <c r="E91" s="190">
        <v>0</v>
      </c>
      <c r="F91" s="190">
        <v>2900488</v>
      </c>
      <c r="G91" s="190">
        <v>0</v>
      </c>
      <c r="H91" s="190">
        <v>0</v>
      </c>
      <c r="I91" s="190">
        <v>56316348</v>
      </c>
      <c r="J91" s="190">
        <v>2760221</v>
      </c>
      <c r="K91" s="190">
        <v>0</v>
      </c>
      <c r="L91" s="191">
        <v>0</v>
      </c>
      <c r="M91" s="190">
        <v>0</v>
      </c>
      <c r="N91" s="190">
        <v>0</v>
      </c>
      <c r="O91" s="190">
        <v>0</v>
      </c>
      <c r="P91" s="190">
        <v>0</v>
      </c>
      <c r="Q91" s="190">
        <v>0</v>
      </c>
      <c r="R91" s="190">
        <v>0</v>
      </c>
      <c r="S91" s="190">
        <v>0</v>
      </c>
      <c r="T91" s="190">
        <v>1206379602</v>
      </c>
      <c r="U91" s="192">
        <v>1472584211</v>
      </c>
    </row>
    <row r="92" spans="1:23" ht="36">
      <c r="A92" s="120" t="s">
        <v>68</v>
      </c>
      <c r="B92" s="190">
        <v>284559119</v>
      </c>
      <c r="C92" s="190">
        <v>94186277</v>
      </c>
      <c r="D92" s="190">
        <v>0</v>
      </c>
      <c r="E92" s="190">
        <v>450227353</v>
      </c>
      <c r="F92" s="190">
        <v>22586940</v>
      </c>
      <c r="G92" s="190">
        <v>17843839</v>
      </c>
      <c r="H92" s="190">
        <v>0</v>
      </c>
      <c r="I92" s="190">
        <v>10371357</v>
      </c>
      <c r="J92" s="190">
        <v>26229</v>
      </c>
      <c r="K92" s="190">
        <v>30820968</v>
      </c>
      <c r="L92" s="191">
        <v>0</v>
      </c>
      <c r="M92" s="190">
        <v>0</v>
      </c>
      <c r="N92" s="190">
        <v>0</v>
      </c>
      <c r="O92" s="190">
        <v>0</v>
      </c>
      <c r="P92" s="190">
        <v>0</v>
      </c>
      <c r="Q92" s="190">
        <v>0</v>
      </c>
      <c r="R92" s="190">
        <v>0</v>
      </c>
      <c r="S92" s="190">
        <v>0</v>
      </c>
      <c r="T92" s="190">
        <v>1471567925</v>
      </c>
      <c r="U92" s="192">
        <v>2382190007</v>
      </c>
    </row>
    <row r="93" spans="1:23" ht="36">
      <c r="A93" s="120" t="s">
        <v>70</v>
      </c>
      <c r="B93" s="190">
        <v>414522882</v>
      </c>
      <c r="C93" s="190">
        <v>78865694</v>
      </c>
      <c r="D93" s="190">
        <v>677907879</v>
      </c>
      <c r="E93" s="190">
        <v>199400000</v>
      </c>
      <c r="F93" s="190">
        <v>0</v>
      </c>
      <c r="G93" s="190">
        <v>13553010</v>
      </c>
      <c r="H93" s="190">
        <v>0</v>
      </c>
      <c r="I93" s="190">
        <v>33486613</v>
      </c>
      <c r="J93" s="190">
        <v>0</v>
      </c>
      <c r="K93" s="190">
        <v>0</v>
      </c>
      <c r="L93" s="191">
        <v>0</v>
      </c>
      <c r="M93" s="190">
        <v>0</v>
      </c>
      <c r="N93" s="190">
        <v>0</v>
      </c>
      <c r="O93" s="190">
        <v>0</v>
      </c>
      <c r="P93" s="190">
        <v>0</v>
      </c>
      <c r="Q93" s="190">
        <v>0</v>
      </c>
      <c r="R93" s="190">
        <v>0</v>
      </c>
      <c r="S93" s="190">
        <v>0</v>
      </c>
      <c r="T93" s="190">
        <v>694134783</v>
      </c>
      <c r="U93" s="192">
        <v>2111870861</v>
      </c>
    </row>
    <row r="94" spans="1:23" ht="36">
      <c r="A94" s="120" t="s">
        <v>222</v>
      </c>
      <c r="B94" s="190">
        <v>274923</v>
      </c>
      <c r="C94" s="190">
        <v>31500000</v>
      </c>
      <c r="D94" s="190">
        <v>7400000</v>
      </c>
      <c r="E94" s="190">
        <v>0</v>
      </c>
      <c r="F94" s="190">
        <v>13916180</v>
      </c>
      <c r="G94" s="190">
        <v>0</v>
      </c>
      <c r="H94" s="190">
        <v>0</v>
      </c>
      <c r="I94" s="190">
        <v>2714402</v>
      </c>
      <c r="J94" s="190">
        <v>0</v>
      </c>
      <c r="K94" s="190">
        <v>8528514</v>
      </c>
      <c r="L94" s="191">
        <v>0</v>
      </c>
      <c r="M94" s="190">
        <v>84200000</v>
      </c>
      <c r="N94" s="190">
        <v>0</v>
      </c>
      <c r="O94" s="190">
        <v>0</v>
      </c>
      <c r="P94" s="190">
        <v>0</v>
      </c>
      <c r="Q94" s="190">
        <v>0</v>
      </c>
      <c r="R94" s="190">
        <v>0</v>
      </c>
      <c r="S94" s="190">
        <v>0</v>
      </c>
      <c r="T94" s="190">
        <v>1037152633</v>
      </c>
      <c r="U94" s="192">
        <v>1185686652</v>
      </c>
    </row>
    <row r="95" spans="1:23" ht="36">
      <c r="A95" s="121" t="s">
        <v>228</v>
      </c>
      <c r="B95" s="190">
        <v>7996136</v>
      </c>
      <c r="C95" s="190">
        <v>0</v>
      </c>
      <c r="D95" s="190">
        <v>0</v>
      </c>
      <c r="E95" s="190">
        <v>0</v>
      </c>
      <c r="F95" s="190">
        <v>211555815</v>
      </c>
      <c r="G95" s="190">
        <v>96514108</v>
      </c>
      <c r="H95" s="190">
        <v>265312</v>
      </c>
      <c r="I95" s="190">
        <v>71968061</v>
      </c>
      <c r="J95" s="190">
        <v>14308010</v>
      </c>
      <c r="K95" s="190">
        <v>3253447</v>
      </c>
      <c r="L95" s="191">
        <v>0</v>
      </c>
      <c r="M95" s="190">
        <v>0</v>
      </c>
      <c r="N95" s="190">
        <v>0</v>
      </c>
      <c r="O95" s="190">
        <v>0</v>
      </c>
      <c r="P95" s="190">
        <v>0</v>
      </c>
      <c r="Q95" s="190">
        <v>0</v>
      </c>
      <c r="R95" s="190">
        <v>0</v>
      </c>
      <c r="S95" s="190">
        <v>0</v>
      </c>
      <c r="T95" s="190">
        <v>802824814</v>
      </c>
      <c r="U95" s="192">
        <v>1208685703</v>
      </c>
    </row>
    <row r="96" spans="1:23" ht="36">
      <c r="A96" s="120" t="s">
        <v>194</v>
      </c>
      <c r="B96" s="190">
        <v>147848292</v>
      </c>
      <c r="C96" s="190">
        <v>211099426</v>
      </c>
      <c r="D96" s="190">
        <v>0</v>
      </c>
      <c r="E96" s="190">
        <v>0</v>
      </c>
      <c r="F96" s="190">
        <v>62577787</v>
      </c>
      <c r="G96" s="190">
        <v>43828491</v>
      </c>
      <c r="H96" s="190">
        <v>0</v>
      </c>
      <c r="I96" s="190">
        <v>606575</v>
      </c>
      <c r="J96" s="190">
        <v>968057</v>
      </c>
      <c r="K96" s="190">
        <v>0</v>
      </c>
      <c r="L96" s="191">
        <v>0</v>
      </c>
      <c r="M96" s="190">
        <v>65122</v>
      </c>
      <c r="N96" s="190">
        <v>0</v>
      </c>
      <c r="O96" s="190">
        <v>59150000</v>
      </c>
      <c r="P96" s="190">
        <v>0</v>
      </c>
      <c r="Q96" s="190">
        <v>0</v>
      </c>
      <c r="R96" s="190">
        <v>0</v>
      </c>
      <c r="S96" s="190">
        <v>0</v>
      </c>
      <c r="T96" s="190">
        <v>551950756</v>
      </c>
      <c r="U96" s="192">
        <v>1078094506</v>
      </c>
    </row>
    <row r="97" spans="1:21" ht="36">
      <c r="A97" s="122" t="s">
        <v>224</v>
      </c>
      <c r="B97" s="190">
        <v>197223229</v>
      </c>
      <c r="C97" s="190">
        <v>31012181</v>
      </c>
      <c r="D97" s="190">
        <v>10300000</v>
      </c>
      <c r="E97" s="190">
        <v>414500000</v>
      </c>
      <c r="F97" s="190">
        <v>60779</v>
      </c>
      <c r="G97" s="190">
        <v>0</v>
      </c>
      <c r="H97" s="190">
        <v>0</v>
      </c>
      <c r="I97" s="190">
        <v>861938</v>
      </c>
      <c r="J97" s="190">
        <v>15427229</v>
      </c>
      <c r="K97" s="190">
        <v>13939402</v>
      </c>
      <c r="L97" s="191">
        <v>0</v>
      </c>
      <c r="M97" s="190">
        <v>0</v>
      </c>
      <c r="N97" s="190">
        <v>0</v>
      </c>
      <c r="O97" s="190">
        <v>0</v>
      </c>
      <c r="P97" s="190">
        <v>0</v>
      </c>
      <c r="Q97" s="190">
        <v>0</v>
      </c>
      <c r="R97" s="190">
        <v>0</v>
      </c>
      <c r="S97" s="190">
        <v>0</v>
      </c>
      <c r="T97" s="190">
        <v>1498957661</v>
      </c>
      <c r="U97" s="192">
        <v>2182282419</v>
      </c>
    </row>
    <row r="98" spans="1:21" ht="36">
      <c r="A98" s="121" t="s">
        <v>209</v>
      </c>
      <c r="B98" s="190">
        <v>3186481</v>
      </c>
      <c r="C98" s="190">
        <v>0</v>
      </c>
      <c r="D98" s="190">
        <v>1700000</v>
      </c>
      <c r="E98" s="190">
        <v>0</v>
      </c>
      <c r="F98" s="190">
        <v>877059338</v>
      </c>
      <c r="G98" s="190">
        <v>0</v>
      </c>
      <c r="H98" s="190">
        <v>0</v>
      </c>
      <c r="I98" s="190">
        <v>0</v>
      </c>
      <c r="J98" s="190">
        <v>33649554</v>
      </c>
      <c r="K98" s="190">
        <v>0</v>
      </c>
      <c r="L98" s="191">
        <v>0</v>
      </c>
      <c r="M98" s="190">
        <v>584415</v>
      </c>
      <c r="N98" s="190">
        <v>0</v>
      </c>
      <c r="O98" s="190">
        <v>0</v>
      </c>
      <c r="P98" s="190">
        <v>0</v>
      </c>
      <c r="Q98" s="190">
        <v>0</v>
      </c>
      <c r="R98" s="190">
        <v>0</v>
      </c>
      <c r="S98" s="190">
        <v>0</v>
      </c>
      <c r="T98" s="190">
        <v>512668402</v>
      </c>
      <c r="U98" s="192">
        <v>1428848190</v>
      </c>
    </row>
    <row r="99" spans="1:21" ht="36">
      <c r="A99" s="120" t="s">
        <v>213</v>
      </c>
      <c r="B99" s="190">
        <v>68673465</v>
      </c>
      <c r="C99" s="190">
        <v>77098697</v>
      </c>
      <c r="D99" s="190">
        <v>235550000</v>
      </c>
      <c r="E99" s="190">
        <v>17640000</v>
      </c>
      <c r="F99" s="190">
        <v>0</v>
      </c>
      <c r="G99" s="190">
        <v>0</v>
      </c>
      <c r="H99" s="190">
        <v>183575040</v>
      </c>
      <c r="I99" s="190">
        <v>4091663</v>
      </c>
      <c r="J99" s="190">
        <v>2084689</v>
      </c>
      <c r="K99" s="190">
        <v>29709749</v>
      </c>
      <c r="L99" s="191">
        <v>0</v>
      </c>
      <c r="M99" s="190">
        <v>2936484</v>
      </c>
      <c r="N99" s="190">
        <v>0</v>
      </c>
      <c r="O99" s="190">
        <v>0</v>
      </c>
      <c r="P99" s="190">
        <v>0</v>
      </c>
      <c r="Q99" s="190">
        <v>0</v>
      </c>
      <c r="R99" s="190">
        <v>0</v>
      </c>
      <c r="S99" s="190">
        <v>0</v>
      </c>
      <c r="T99" s="190">
        <v>400064884</v>
      </c>
      <c r="U99" s="192">
        <v>1021424671</v>
      </c>
    </row>
    <row r="100" spans="1:21" ht="36">
      <c r="A100" s="120" t="s">
        <v>219</v>
      </c>
      <c r="B100" s="190">
        <v>23014081</v>
      </c>
      <c r="C100" s="190">
        <v>2075932</v>
      </c>
      <c r="D100" s="190">
        <v>0</v>
      </c>
      <c r="E100" s="190">
        <v>0</v>
      </c>
      <c r="F100" s="190">
        <v>86646502</v>
      </c>
      <c r="G100" s="190">
        <v>464300000</v>
      </c>
      <c r="H100" s="190">
        <v>0</v>
      </c>
      <c r="I100" s="190">
        <v>0</v>
      </c>
      <c r="J100" s="190">
        <v>0</v>
      </c>
      <c r="K100" s="190">
        <v>0</v>
      </c>
      <c r="L100" s="191">
        <v>0</v>
      </c>
      <c r="M100" s="190">
        <v>0</v>
      </c>
      <c r="N100" s="190">
        <v>0</v>
      </c>
      <c r="O100" s="190">
        <v>0</v>
      </c>
      <c r="P100" s="190">
        <v>0</v>
      </c>
      <c r="Q100" s="190">
        <v>0</v>
      </c>
      <c r="R100" s="190">
        <v>0</v>
      </c>
      <c r="S100" s="190">
        <v>0</v>
      </c>
      <c r="T100" s="190">
        <v>313288898</v>
      </c>
      <c r="U100" s="192">
        <v>889325413</v>
      </c>
    </row>
    <row r="101" spans="1:21" ht="36">
      <c r="A101" s="120" t="s">
        <v>72</v>
      </c>
      <c r="B101" s="190">
        <v>250119258</v>
      </c>
      <c r="C101" s="190">
        <v>13775084</v>
      </c>
      <c r="D101" s="190">
        <v>2862500</v>
      </c>
      <c r="E101" s="190">
        <v>7178936</v>
      </c>
      <c r="F101" s="190">
        <v>0</v>
      </c>
      <c r="G101" s="190">
        <v>0</v>
      </c>
      <c r="H101" s="190">
        <v>301605</v>
      </c>
      <c r="I101" s="190">
        <v>43776256</v>
      </c>
      <c r="J101" s="190">
        <v>0</v>
      </c>
      <c r="K101" s="190">
        <v>0</v>
      </c>
      <c r="L101" s="191">
        <v>0</v>
      </c>
      <c r="M101" s="190">
        <v>0</v>
      </c>
      <c r="N101" s="190">
        <v>163456576</v>
      </c>
      <c r="O101" s="190">
        <v>0</v>
      </c>
      <c r="P101" s="190">
        <v>0</v>
      </c>
      <c r="Q101" s="190">
        <v>0</v>
      </c>
      <c r="R101" s="190">
        <v>0</v>
      </c>
      <c r="S101" s="190">
        <v>0</v>
      </c>
      <c r="T101" s="190">
        <v>192162810</v>
      </c>
      <c r="U101" s="192">
        <v>673633025</v>
      </c>
    </row>
    <row r="102" spans="1:21" ht="36">
      <c r="A102" s="120" t="s">
        <v>220</v>
      </c>
      <c r="B102" s="190">
        <v>79261076</v>
      </c>
      <c r="C102" s="190">
        <v>12107320</v>
      </c>
      <c r="D102" s="190">
        <v>39981103</v>
      </c>
      <c r="E102" s="190">
        <v>0</v>
      </c>
      <c r="F102" s="190">
        <v>40989646</v>
      </c>
      <c r="G102" s="190">
        <v>38300000</v>
      </c>
      <c r="H102" s="190">
        <v>55249048</v>
      </c>
      <c r="I102" s="190">
        <v>3883122</v>
      </c>
      <c r="J102" s="190">
        <v>272827220</v>
      </c>
      <c r="K102" s="190">
        <v>204826194</v>
      </c>
      <c r="L102" s="191">
        <v>0</v>
      </c>
      <c r="M102" s="190">
        <v>0</v>
      </c>
      <c r="N102" s="190">
        <v>0</v>
      </c>
      <c r="O102" s="190">
        <v>0</v>
      </c>
      <c r="P102" s="190">
        <v>0</v>
      </c>
      <c r="Q102" s="190">
        <v>0</v>
      </c>
      <c r="R102" s="190">
        <v>0</v>
      </c>
      <c r="S102" s="190">
        <v>0</v>
      </c>
      <c r="T102" s="190">
        <v>283456940</v>
      </c>
      <c r="U102" s="192">
        <v>1030881669</v>
      </c>
    </row>
    <row r="103" spans="1:21" ht="37.5">
      <c r="A103" s="177" t="s">
        <v>281</v>
      </c>
      <c r="B103" s="193">
        <v>435550000</v>
      </c>
      <c r="C103" s="190">
        <v>0</v>
      </c>
      <c r="D103" s="190">
        <v>0</v>
      </c>
      <c r="E103" s="190">
        <v>0</v>
      </c>
      <c r="F103" s="190">
        <v>0</v>
      </c>
      <c r="G103" s="190">
        <v>0</v>
      </c>
      <c r="H103" s="190">
        <v>0</v>
      </c>
      <c r="I103" s="190">
        <v>0</v>
      </c>
      <c r="J103" s="190">
        <v>0</v>
      </c>
      <c r="K103" s="190">
        <v>0</v>
      </c>
      <c r="L103" s="191">
        <v>0</v>
      </c>
      <c r="M103" s="190">
        <v>0</v>
      </c>
      <c r="N103" s="190">
        <v>0</v>
      </c>
      <c r="O103" s="190">
        <v>0</v>
      </c>
      <c r="P103" s="190">
        <v>0</v>
      </c>
      <c r="Q103" s="190">
        <v>0</v>
      </c>
      <c r="R103" s="190">
        <v>0</v>
      </c>
      <c r="S103" s="190">
        <v>0</v>
      </c>
      <c r="T103" s="190">
        <v>8261739</v>
      </c>
      <c r="U103" s="192">
        <v>443811739</v>
      </c>
    </row>
    <row r="104" spans="1:21" ht="37.5">
      <c r="A104" s="178" t="s">
        <v>282</v>
      </c>
      <c r="B104" s="193">
        <v>781219</v>
      </c>
      <c r="C104" s="190">
        <v>0</v>
      </c>
      <c r="D104" s="190">
        <v>0</v>
      </c>
      <c r="E104" s="190">
        <v>0</v>
      </c>
      <c r="F104" s="190">
        <v>1121052306</v>
      </c>
      <c r="G104" s="190">
        <v>0</v>
      </c>
      <c r="H104" s="190">
        <v>0</v>
      </c>
      <c r="I104" s="190">
        <v>0</v>
      </c>
      <c r="J104" s="190">
        <v>1060165</v>
      </c>
      <c r="K104" s="190">
        <v>0</v>
      </c>
      <c r="L104" s="191">
        <v>0</v>
      </c>
      <c r="M104" s="190">
        <v>0</v>
      </c>
      <c r="N104" s="190">
        <v>0</v>
      </c>
      <c r="O104" s="190">
        <v>0</v>
      </c>
      <c r="P104" s="190">
        <v>0</v>
      </c>
      <c r="Q104" s="190">
        <v>0</v>
      </c>
      <c r="R104" s="190">
        <v>0</v>
      </c>
      <c r="S104" s="190">
        <v>0</v>
      </c>
      <c r="T104" s="190">
        <v>580479</v>
      </c>
      <c r="U104" s="192">
        <v>1123474169</v>
      </c>
    </row>
    <row r="105" spans="1:21" ht="36">
      <c r="A105" s="118" t="s">
        <v>66</v>
      </c>
      <c r="B105" s="190">
        <v>1685308770</v>
      </c>
      <c r="C105" s="190">
        <v>19146302</v>
      </c>
      <c r="D105" s="190">
        <v>93151462</v>
      </c>
      <c r="E105" s="190">
        <v>282068947</v>
      </c>
      <c r="F105" s="190">
        <v>3923859</v>
      </c>
      <c r="G105" s="190">
        <v>58537490</v>
      </c>
      <c r="H105" s="190">
        <v>7117853</v>
      </c>
      <c r="I105" s="190">
        <v>13027396</v>
      </c>
      <c r="J105" s="190">
        <v>0</v>
      </c>
      <c r="K105" s="190">
        <v>99784217</v>
      </c>
      <c r="L105" s="191">
        <v>0</v>
      </c>
      <c r="M105" s="190">
        <v>0</v>
      </c>
      <c r="N105" s="190">
        <v>0</v>
      </c>
      <c r="O105" s="190">
        <v>0</v>
      </c>
      <c r="P105" s="190">
        <v>0</v>
      </c>
      <c r="Q105" s="190">
        <v>0</v>
      </c>
      <c r="R105" s="190">
        <v>0</v>
      </c>
      <c r="S105" s="190">
        <v>0</v>
      </c>
      <c r="T105" s="190">
        <v>181704800</v>
      </c>
      <c r="U105" s="192">
        <v>2443771096</v>
      </c>
    </row>
    <row r="106" spans="1:21" ht="36">
      <c r="A106" s="120" t="s">
        <v>218</v>
      </c>
      <c r="B106" s="190">
        <v>101516929</v>
      </c>
      <c r="C106" s="190">
        <v>45659826</v>
      </c>
      <c r="D106" s="190">
        <v>736694</v>
      </c>
      <c r="E106" s="190">
        <v>0</v>
      </c>
      <c r="F106" s="190">
        <v>0</v>
      </c>
      <c r="G106" s="190">
        <v>0</v>
      </c>
      <c r="H106" s="190">
        <v>0</v>
      </c>
      <c r="I106" s="190">
        <v>45996040</v>
      </c>
      <c r="J106" s="190">
        <v>23239996</v>
      </c>
      <c r="K106" s="190">
        <v>237685</v>
      </c>
      <c r="L106" s="191">
        <v>0</v>
      </c>
      <c r="M106" s="190">
        <v>0</v>
      </c>
      <c r="N106" s="190">
        <v>0</v>
      </c>
      <c r="O106" s="190">
        <v>0</v>
      </c>
      <c r="P106" s="190">
        <v>0</v>
      </c>
      <c r="Q106" s="190">
        <v>0</v>
      </c>
      <c r="R106" s="190">
        <v>0</v>
      </c>
      <c r="S106" s="190">
        <v>0</v>
      </c>
      <c r="T106" s="190">
        <v>629228876</v>
      </c>
      <c r="U106" s="192">
        <v>846616046</v>
      </c>
    </row>
    <row r="107" spans="1:21" ht="36">
      <c r="A107" s="120" t="s">
        <v>69</v>
      </c>
      <c r="B107" s="190">
        <v>20975508</v>
      </c>
      <c r="C107" s="190">
        <v>5050000</v>
      </c>
      <c r="D107" s="190">
        <v>0</v>
      </c>
      <c r="E107" s="190">
        <v>0</v>
      </c>
      <c r="F107" s="190">
        <v>67775789</v>
      </c>
      <c r="G107" s="190">
        <v>0</v>
      </c>
      <c r="H107" s="190">
        <v>12337500</v>
      </c>
      <c r="I107" s="190">
        <v>8850049</v>
      </c>
      <c r="J107" s="190">
        <v>114060236</v>
      </c>
      <c r="K107" s="190">
        <v>191631098</v>
      </c>
      <c r="L107" s="191">
        <v>0</v>
      </c>
      <c r="M107" s="190">
        <v>144955</v>
      </c>
      <c r="N107" s="190">
        <v>0</v>
      </c>
      <c r="O107" s="190">
        <v>0</v>
      </c>
      <c r="P107" s="190">
        <v>7071341</v>
      </c>
      <c r="Q107" s="190">
        <v>0</v>
      </c>
      <c r="R107" s="190">
        <v>0</v>
      </c>
      <c r="S107" s="190">
        <v>0</v>
      </c>
      <c r="T107" s="190">
        <v>224803922</v>
      </c>
      <c r="U107" s="192">
        <v>652700398</v>
      </c>
    </row>
    <row r="108" spans="1:21" ht="36">
      <c r="A108" s="120" t="s">
        <v>216</v>
      </c>
      <c r="B108" s="190">
        <v>0</v>
      </c>
      <c r="C108" s="190">
        <v>0</v>
      </c>
      <c r="D108" s="190">
        <v>0</v>
      </c>
      <c r="E108" s="190">
        <v>0</v>
      </c>
      <c r="F108" s="190">
        <v>94351894</v>
      </c>
      <c r="G108" s="190">
        <v>0</v>
      </c>
      <c r="H108" s="190">
        <v>0</v>
      </c>
      <c r="I108" s="190">
        <v>0</v>
      </c>
      <c r="J108" s="190">
        <v>0</v>
      </c>
      <c r="K108" s="190">
        <v>0</v>
      </c>
      <c r="L108" s="191">
        <v>0</v>
      </c>
      <c r="M108" s="190">
        <v>0</v>
      </c>
      <c r="N108" s="190">
        <v>0</v>
      </c>
      <c r="O108" s="190">
        <v>0</v>
      </c>
      <c r="P108" s="190">
        <v>0</v>
      </c>
      <c r="Q108" s="190">
        <v>0</v>
      </c>
      <c r="R108" s="190">
        <v>0</v>
      </c>
      <c r="S108" s="190">
        <v>0</v>
      </c>
      <c r="T108" s="190">
        <v>363752099</v>
      </c>
      <c r="U108" s="192">
        <v>458103993</v>
      </c>
    </row>
    <row r="109" spans="1:21" ht="36">
      <c r="A109" s="120" t="s">
        <v>217</v>
      </c>
      <c r="B109" s="190">
        <v>129671517</v>
      </c>
      <c r="C109" s="190">
        <v>0</v>
      </c>
      <c r="D109" s="190">
        <v>0</v>
      </c>
      <c r="E109" s="190">
        <v>0</v>
      </c>
      <c r="F109" s="190">
        <v>11950000</v>
      </c>
      <c r="G109" s="190">
        <v>10947000</v>
      </c>
      <c r="H109" s="190">
        <v>0</v>
      </c>
      <c r="I109" s="190">
        <v>0</v>
      </c>
      <c r="J109" s="190">
        <v>0</v>
      </c>
      <c r="K109" s="190">
        <v>214627</v>
      </c>
      <c r="L109" s="191">
        <v>0</v>
      </c>
      <c r="M109" s="190">
        <v>0</v>
      </c>
      <c r="N109" s="190">
        <v>0</v>
      </c>
      <c r="O109" s="190">
        <v>0</v>
      </c>
      <c r="P109" s="190">
        <v>0</v>
      </c>
      <c r="Q109" s="190">
        <v>0</v>
      </c>
      <c r="R109" s="190">
        <v>0</v>
      </c>
      <c r="S109" s="190">
        <v>0</v>
      </c>
      <c r="T109" s="190">
        <v>749256262</v>
      </c>
      <c r="U109" s="192">
        <v>902039406</v>
      </c>
    </row>
    <row r="110" spans="1:21" ht="36">
      <c r="A110" s="120" t="s">
        <v>214</v>
      </c>
      <c r="B110" s="190">
        <v>8123753</v>
      </c>
      <c r="C110" s="190">
        <v>0</v>
      </c>
      <c r="D110" s="190">
        <v>0</v>
      </c>
      <c r="E110" s="190">
        <v>0</v>
      </c>
      <c r="F110" s="190">
        <v>5821111</v>
      </c>
      <c r="G110" s="190">
        <v>0</v>
      </c>
      <c r="H110" s="190">
        <v>85979050</v>
      </c>
      <c r="I110" s="190">
        <v>68775948</v>
      </c>
      <c r="J110" s="190">
        <v>145426935</v>
      </c>
      <c r="K110" s="190">
        <v>1958576</v>
      </c>
      <c r="L110" s="191">
        <v>0</v>
      </c>
      <c r="M110" s="190">
        <v>0</v>
      </c>
      <c r="N110" s="190">
        <v>0</v>
      </c>
      <c r="O110" s="190">
        <v>0</v>
      </c>
      <c r="P110" s="190">
        <v>0</v>
      </c>
      <c r="Q110" s="190">
        <v>0</v>
      </c>
      <c r="R110" s="190">
        <v>0</v>
      </c>
      <c r="S110" s="190">
        <v>0</v>
      </c>
      <c r="T110" s="190">
        <v>291277806</v>
      </c>
      <c r="U110" s="192">
        <v>607363179</v>
      </c>
    </row>
    <row r="111" spans="1:21" ht="36">
      <c r="A111" s="129" t="s">
        <v>245</v>
      </c>
      <c r="B111" s="194">
        <v>63187025</v>
      </c>
      <c r="C111" s="190">
        <v>0</v>
      </c>
      <c r="D111" s="190">
        <v>0</v>
      </c>
      <c r="E111" s="190">
        <v>0</v>
      </c>
      <c r="F111" s="190">
        <v>0</v>
      </c>
      <c r="G111" s="190">
        <v>0</v>
      </c>
      <c r="H111" s="190">
        <v>2550000</v>
      </c>
      <c r="I111" s="190">
        <v>0</v>
      </c>
      <c r="J111" s="190">
        <v>0</v>
      </c>
      <c r="K111" s="190">
        <v>0</v>
      </c>
      <c r="L111" s="191">
        <v>1929300000</v>
      </c>
      <c r="M111" s="190">
        <v>0</v>
      </c>
      <c r="N111" s="190">
        <v>0</v>
      </c>
      <c r="O111" s="190">
        <v>0</v>
      </c>
      <c r="P111" s="195">
        <v>0</v>
      </c>
      <c r="Q111" s="194">
        <v>0</v>
      </c>
      <c r="R111" s="190">
        <v>0</v>
      </c>
      <c r="S111" s="190">
        <v>0</v>
      </c>
      <c r="T111" s="190">
        <v>374432814</v>
      </c>
      <c r="U111" s="192">
        <v>4294869839</v>
      </c>
    </row>
    <row r="112" spans="1:21" ht="36">
      <c r="A112" s="118" t="s">
        <v>230</v>
      </c>
      <c r="B112" s="190">
        <v>0</v>
      </c>
      <c r="C112" s="190">
        <v>0</v>
      </c>
      <c r="D112" s="190">
        <v>0</v>
      </c>
      <c r="E112" s="190">
        <v>0</v>
      </c>
      <c r="F112" s="190">
        <v>222036537</v>
      </c>
      <c r="G112" s="190">
        <v>0</v>
      </c>
      <c r="H112" s="190">
        <v>0</v>
      </c>
      <c r="I112" s="190">
        <v>0</v>
      </c>
      <c r="J112" s="190">
        <v>0</v>
      </c>
      <c r="K112" s="190">
        <v>0</v>
      </c>
      <c r="L112" s="191">
        <v>0</v>
      </c>
      <c r="M112" s="190">
        <v>0</v>
      </c>
      <c r="N112" s="190">
        <v>0</v>
      </c>
      <c r="O112" s="190">
        <v>0</v>
      </c>
      <c r="P112" s="190">
        <v>0</v>
      </c>
      <c r="Q112" s="190">
        <v>0</v>
      </c>
      <c r="R112" s="190">
        <v>0</v>
      </c>
      <c r="S112" s="190">
        <v>0</v>
      </c>
      <c r="T112" s="190">
        <v>0</v>
      </c>
      <c r="U112" s="192">
        <v>222036537</v>
      </c>
    </row>
    <row r="113" spans="1:21" ht="36">
      <c r="A113" s="122" t="s">
        <v>223</v>
      </c>
      <c r="B113" s="190">
        <v>24532980</v>
      </c>
      <c r="C113" s="190">
        <v>0</v>
      </c>
      <c r="D113" s="190">
        <v>0</v>
      </c>
      <c r="E113" s="190">
        <v>0</v>
      </c>
      <c r="F113" s="190">
        <v>149469</v>
      </c>
      <c r="G113" s="190">
        <v>0</v>
      </c>
      <c r="H113" s="190">
        <v>117400000</v>
      </c>
      <c r="I113" s="190">
        <v>0</v>
      </c>
      <c r="J113" s="190">
        <v>5883221</v>
      </c>
      <c r="K113" s="190">
        <v>3500000</v>
      </c>
      <c r="L113" s="191">
        <v>0</v>
      </c>
      <c r="M113" s="190">
        <v>0</v>
      </c>
      <c r="N113" s="190">
        <v>0</v>
      </c>
      <c r="O113" s="190">
        <v>0</v>
      </c>
      <c r="P113" s="190">
        <v>0</v>
      </c>
      <c r="Q113" s="190">
        <v>0</v>
      </c>
      <c r="R113" s="190">
        <v>0</v>
      </c>
      <c r="S113" s="190">
        <v>0</v>
      </c>
      <c r="T113" s="190">
        <v>50643670</v>
      </c>
      <c r="U113" s="192">
        <v>202109340</v>
      </c>
    </row>
    <row r="114" spans="1:21" ht="36">
      <c r="A114" s="123" t="s">
        <v>180</v>
      </c>
      <c r="B114" s="190">
        <v>499356</v>
      </c>
      <c r="C114" s="190">
        <v>22694929</v>
      </c>
      <c r="D114" s="190">
        <v>0</v>
      </c>
      <c r="E114" s="190">
        <v>0</v>
      </c>
      <c r="F114" s="190">
        <v>32372955</v>
      </c>
      <c r="G114" s="190">
        <v>1008000000</v>
      </c>
      <c r="H114" s="190">
        <v>0</v>
      </c>
      <c r="I114" s="190">
        <v>0</v>
      </c>
      <c r="J114" s="190">
        <v>0</v>
      </c>
      <c r="K114" s="190">
        <v>0</v>
      </c>
      <c r="L114" s="191">
        <v>0</v>
      </c>
      <c r="M114" s="190">
        <v>0</v>
      </c>
      <c r="N114" s="190">
        <v>0</v>
      </c>
      <c r="O114" s="190">
        <v>0</v>
      </c>
      <c r="P114" s="190">
        <v>0</v>
      </c>
      <c r="Q114" s="190">
        <v>0</v>
      </c>
      <c r="R114" s="190">
        <v>0</v>
      </c>
      <c r="S114" s="190">
        <v>0</v>
      </c>
      <c r="T114" s="190">
        <v>142203762</v>
      </c>
      <c r="U114" s="192">
        <v>1205771002</v>
      </c>
    </row>
    <row r="115" spans="1:21" ht="36">
      <c r="A115" s="120" t="s">
        <v>221</v>
      </c>
      <c r="B115" s="190">
        <v>55574689</v>
      </c>
      <c r="C115" s="190">
        <v>10074963</v>
      </c>
      <c r="D115" s="190">
        <v>0</v>
      </c>
      <c r="E115" s="190">
        <v>0</v>
      </c>
      <c r="F115" s="190">
        <v>15778028</v>
      </c>
      <c r="G115" s="190">
        <v>10978128</v>
      </c>
      <c r="H115" s="190">
        <v>356985</v>
      </c>
      <c r="I115" s="190">
        <v>877734</v>
      </c>
      <c r="J115" s="190">
        <v>0</v>
      </c>
      <c r="K115" s="190">
        <v>18577697</v>
      </c>
      <c r="L115" s="191">
        <v>0</v>
      </c>
      <c r="M115" s="190">
        <v>0</v>
      </c>
      <c r="N115" s="190">
        <v>0</v>
      </c>
      <c r="O115" s="190">
        <v>0</v>
      </c>
      <c r="P115" s="190">
        <v>0</v>
      </c>
      <c r="Q115" s="190">
        <v>0</v>
      </c>
      <c r="R115" s="190">
        <v>0</v>
      </c>
      <c r="S115" s="190">
        <v>0</v>
      </c>
      <c r="T115" s="190">
        <v>151279929</v>
      </c>
      <c r="U115" s="192">
        <v>263498153</v>
      </c>
    </row>
    <row r="116" spans="1:21" ht="36">
      <c r="A116" s="120" t="s">
        <v>67</v>
      </c>
      <c r="B116" s="190">
        <v>70226125</v>
      </c>
      <c r="C116" s="190">
        <v>0</v>
      </c>
      <c r="D116" s="190">
        <v>0</v>
      </c>
      <c r="E116" s="190">
        <v>0</v>
      </c>
      <c r="F116" s="190">
        <v>0</v>
      </c>
      <c r="G116" s="190">
        <v>0</v>
      </c>
      <c r="H116" s="190">
        <v>0</v>
      </c>
      <c r="I116" s="190">
        <v>1705430</v>
      </c>
      <c r="J116" s="190">
        <v>0</v>
      </c>
      <c r="K116" s="190">
        <v>0</v>
      </c>
      <c r="L116" s="191">
        <v>0</v>
      </c>
      <c r="M116" s="190">
        <v>0</v>
      </c>
      <c r="N116" s="190">
        <v>0</v>
      </c>
      <c r="O116" s="190">
        <v>0</v>
      </c>
      <c r="P116" s="190">
        <v>0</v>
      </c>
      <c r="Q116" s="190">
        <v>0</v>
      </c>
      <c r="R116" s="190">
        <v>0</v>
      </c>
      <c r="S116" s="190">
        <v>0</v>
      </c>
      <c r="T116" s="190">
        <v>238566185</v>
      </c>
      <c r="U116" s="192">
        <v>310497740</v>
      </c>
    </row>
    <row r="117" spans="1:21" ht="36">
      <c r="A117" s="120" t="s">
        <v>227</v>
      </c>
      <c r="B117" s="190">
        <v>0</v>
      </c>
      <c r="C117" s="190">
        <v>0</v>
      </c>
      <c r="D117" s="190">
        <v>0</v>
      </c>
      <c r="E117" s="190">
        <v>0</v>
      </c>
      <c r="F117" s="190">
        <v>0</v>
      </c>
      <c r="G117" s="190">
        <v>0</v>
      </c>
      <c r="H117" s="190">
        <v>31510671</v>
      </c>
      <c r="I117" s="190">
        <v>52594</v>
      </c>
      <c r="J117" s="190">
        <v>0</v>
      </c>
      <c r="K117" s="190">
        <v>0</v>
      </c>
      <c r="L117" s="191">
        <v>0</v>
      </c>
      <c r="M117" s="190">
        <v>0</v>
      </c>
      <c r="N117" s="190">
        <v>0</v>
      </c>
      <c r="O117" s="190">
        <v>0</v>
      </c>
      <c r="P117" s="190">
        <v>0</v>
      </c>
      <c r="Q117" s="190">
        <v>0</v>
      </c>
      <c r="R117" s="190">
        <v>0</v>
      </c>
      <c r="S117" s="190">
        <v>0</v>
      </c>
      <c r="T117" s="190">
        <v>168281569</v>
      </c>
      <c r="U117" s="192">
        <v>199844834</v>
      </c>
    </row>
    <row r="118" spans="1:21" ht="36">
      <c r="A118" s="120" t="s">
        <v>71</v>
      </c>
      <c r="B118" s="190">
        <v>15774432</v>
      </c>
      <c r="C118" s="190">
        <v>0</v>
      </c>
      <c r="D118" s="190">
        <v>131711304</v>
      </c>
      <c r="E118" s="190">
        <v>0</v>
      </c>
      <c r="F118" s="190">
        <v>0</v>
      </c>
      <c r="G118" s="190">
        <v>0</v>
      </c>
      <c r="H118" s="190">
        <v>0</v>
      </c>
      <c r="I118" s="190">
        <v>0</v>
      </c>
      <c r="J118" s="190">
        <v>0</v>
      </c>
      <c r="K118" s="190">
        <v>0</v>
      </c>
      <c r="L118" s="191">
        <v>0</v>
      </c>
      <c r="M118" s="190">
        <v>0</v>
      </c>
      <c r="N118" s="190">
        <v>0</v>
      </c>
      <c r="O118" s="190">
        <v>0</v>
      </c>
      <c r="P118" s="190">
        <v>0</v>
      </c>
      <c r="Q118" s="190">
        <v>0</v>
      </c>
      <c r="R118" s="190">
        <v>0</v>
      </c>
      <c r="S118" s="190">
        <v>0</v>
      </c>
      <c r="T118" s="190">
        <v>121380207</v>
      </c>
      <c r="U118" s="192">
        <v>268865943</v>
      </c>
    </row>
    <row r="119" spans="1:21" ht="36">
      <c r="A119" s="120" t="s">
        <v>226</v>
      </c>
      <c r="B119" s="190">
        <v>41657</v>
      </c>
      <c r="C119" s="190">
        <v>6790477</v>
      </c>
      <c r="D119" s="190">
        <v>0</v>
      </c>
      <c r="E119" s="190">
        <v>0</v>
      </c>
      <c r="F119" s="190">
        <v>0</v>
      </c>
      <c r="G119" s="190">
        <v>0</v>
      </c>
      <c r="H119" s="190">
        <v>25669195</v>
      </c>
      <c r="I119" s="190">
        <v>138667708</v>
      </c>
      <c r="J119" s="190">
        <v>0</v>
      </c>
      <c r="K119" s="190">
        <v>5500536</v>
      </c>
      <c r="L119" s="191">
        <v>0</v>
      </c>
      <c r="M119" s="190">
        <v>0</v>
      </c>
      <c r="N119" s="190">
        <v>0</v>
      </c>
      <c r="O119" s="190">
        <v>0</v>
      </c>
      <c r="P119" s="190">
        <v>0</v>
      </c>
      <c r="Q119" s="190">
        <v>5156255</v>
      </c>
      <c r="R119" s="190">
        <v>0</v>
      </c>
      <c r="S119" s="190">
        <v>0</v>
      </c>
      <c r="T119" s="190">
        <v>218634953</v>
      </c>
      <c r="U119" s="192">
        <v>400460781</v>
      </c>
    </row>
    <row r="120" spans="1:21" ht="36">
      <c r="A120" s="120" t="s">
        <v>74</v>
      </c>
      <c r="B120" s="190">
        <v>194861825</v>
      </c>
      <c r="C120" s="190">
        <v>0</v>
      </c>
      <c r="D120" s="190">
        <v>0</v>
      </c>
      <c r="E120" s="190">
        <v>0</v>
      </c>
      <c r="F120" s="190">
        <v>0</v>
      </c>
      <c r="G120" s="190">
        <v>0</v>
      </c>
      <c r="H120" s="190">
        <v>0</v>
      </c>
      <c r="I120" s="190">
        <v>0</v>
      </c>
      <c r="J120" s="190">
        <v>0</v>
      </c>
      <c r="K120" s="190">
        <v>0</v>
      </c>
      <c r="L120" s="191">
        <v>0</v>
      </c>
      <c r="M120" s="190">
        <v>0</v>
      </c>
      <c r="N120" s="190">
        <v>0</v>
      </c>
      <c r="O120" s="190">
        <v>0</v>
      </c>
      <c r="P120" s="190">
        <v>0</v>
      </c>
      <c r="Q120" s="190">
        <v>0</v>
      </c>
      <c r="R120" s="190">
        <v>0</v>
      </c>
      <c r="S120" s="190">
        <v>0</v>
      </c>
      <c r="T120" s="190">
        <v>173664000</v>
      </c>
      <c r="U120" s="192">
        <v>368525825</v>
      </c>
    </row>
    <row r="121" spans="1:21" ht="36">
      <c r="A121" s="120" t="s">
        <v>225</v>
      </c>
      <c r="B121" s="190">
        <v>35100000</v>
      </c>
      <c r="C121" s="190">
        <v>0</v>
      </c>
      <c r="D121" s="190">
        <v>0</v>
      </c>
      <c r="E121" s="190">
        <v>0</v>
      </c>
      <c r="F121" s="190">
        <v>1540245</v>
      </c>
      <c r="G121" s="190">
        <v>0</v>
      </c>
      <c r="H121" s="190">
        <v>0</v>
      </c>
      <c r="I121" s="190">
        <v>214779</v>
      </c>
      <c r="J121" s="190">
        <v>364207674</v>
      </c>
      <c r="K121" s="190">
        <v>0</v>
      </c>
      <c r="L121" s="191">
        <v>0</v>
      </c>
      <c r="M121" s="190">
        <v>0</v>
      </c>
      <c r="N121" s="190">
        <v>0</v>
      </c>
      <c r="O121" s="190">
        <v>0</v>
      </c>
      <c r="P121" s="190">
        <v>0</v>
      </c>
      <c r="Q121" s="190">
        <v>0</v>
      </c>
      <c r="R121" s="190">
        <v>0</v>
      </c>
      <c r="S121" s="190">
        <v>0</v>
      </c>
      <c r="T121" s="190">
        <v>14518777</v>
      </c>
      <c r="U121" s="192">
        <v>415581475</v>
      </c>
    </row>
    <row r="122" spans="1:21" ht="36.75" thickBot="1">
      <c r="A122" s="119" t="s">
        <v>231</v>
      </c>
      <c r="B122" s="190">
        <v>94141229</v>
      </c>
      <c r="C122" s="190">
        <v>5082490</v>
      </c>
      <c r="D122" s="190">
        <v>11800000</v>
      </c>
      <c r="E122" s="190">
        <v>0</v>
      </c>
      <c r="F122" s="190">
        <v>0</v>
      </c>
      <c r="G122" s="190">
        <v>0</v>
      </c>
      <c r="H122" s="190">
        <v>0</v>
      </c>
      <c r="I122" s="190">
        <v>5520230</v>
      </c>
      <c r="J122" s="190">
        <v>0</v>
      </c>
      <c r="K122" s="190">
        <v>0</v>
      </c>
      <c r="L122" s="191">
        <v>0</v>
      </c>
      <c r="M122" s="190">
        <v>0</v>
      </c>
      <c r="N122" s="190">
        <v>0</v>
      </c>
      <c r="O122" s="190">
        <v>0</v>
      </c>
      <c r="P122" s="190">
        <v>0</v>
      </c>
      <c r="Q122" s="190">
        <v>0</v>
      </c>
      <c r="R122" s="190">
        <v>0</v>
      </c>
      <c r="S122" s="190">
        <v>0</v>
      </c>
      <c r="T122" s="190">
        <v>91252592</v>
      </c>
      <c r="U122" s="192">
        <v>207796541</v>
      </c>
    </row>
    <row r="123" spans="1:21" ht="36.75" thickBot="1">
      <c r="A123" s="130" t="s">
        <v>73</v>
      </c>
      <c r="B123" s="190">
        <v>340217</v>
      </c>
      <c r="C123" s="190">
        <v>0</v>
      </c>
      <c r="D123" s="190">
        <v>0</v>
      </c>
      <c r="E123" s="190">
        <v>0</v>
      </c>
      <c r="F123" s="190">
        <v>0</v>
      </c>
      <c r="G123" s="190">
        <v>0</v>
      </c>
      <c r="H123" s="190">
        <v>7000000</v>
      </c>
      <c r="I123" s="190">
        <v>0</v>
      </c>
      <c r="J123" s="190">
        <v>0</v>
      </c>
      <c r="K123" s="190">
        <v>528620</v>
      </c>
      <c r="L123" s="191">
        <v>0</v>
      </c>
      <c r="M123" s="190">
        <v>0</v>
      </c>
      <c r="N123" s="190">
        <v>0</v>
      </c>
      <c r="O123" s="190">
        <v>0</v>
      </c>
      <c r="P123" s="190">
        <v>0</v>
      </c>
      <c r="Q123" s="190">
        <v>0</v>
      </c>
      <c r="R123" s="190">
        <v>0</v>
      </c>
      <c r="S123" s="190">
        <v>0</v>
      </c>
      <c r="T123" s="190">
        <v>374978731</v>
      </c>
      <c r="U123" s="192">
        <v>382847568</v>
      </c>
    </row>
    <row r="124" spans="1:21" ht="36">
      <c r="A124" s="131" t="s">
        <v>229</v>
      </c>
      <c r="B124" s="193">
        <v>0</v>
      </c>
      <c r="C124" s="190">
        <v>0</v>
      </c>
      <c r="D124" s="190">
        <v>0</v>
      </c>
      <c r="E124" s="190">
        <v>0</v>
      </c>
      <c r="F124" s="190">
        <v>0</v>
      </c>
      <c r="G124" s="190">
        <v>0</v>
      </c>
      <c r="H124" s="190">
        <v>0</v>
      </c>
      <c r="I124" s="190">
        <v>929691</v>
      </c>
      <c r="J124" s="190">
        <v>2600630</v>
      </c>
      <c r="K124" s="190">
        <v>0</v>
      </c>
      <c r="L124" s="191">
        <v>0</v>
      </c>
      <c r="M124" s="190">
        <v>0</v>
      </c>
      <c r="N124" s="190">
        <v>0</v>
      </c>
      <c r="O124" s="190">
        <v>0</v>
      </c>
      <c r="P124" s="195">
        <v>0</v>
      </c>
      <c r="Q124" s="194">
        <v>0</v>
      </c>
      <c r="R124" s="190">
        <v>0</v>
      </c>
      <c r="S124" s="190">
        <v>0</v>
      </c>
      <c r="T124" s="190">
        <v>153818802</v>
      </c>
      <c r="U124" s="192">
        <v>157349123</v>
      </c>
    </row>
    <row r="125" spans="1:21" ht="37.5">
      <c r="A125" s="126" t="s">
        <v>247</v>
      </c>
      <c r="B125" s="193">
        <v>0</v>
      </c>
      <c r="C125" s="190">
        <v>0</v>
      </c>
      <c r="D125" s="190">
        <v>0</v>
      </c>
      <c r="E125" s="190">
        <v>0</v>
      </c>
      <c r="F125" s="190">
        <v>633338</v>
      </c>
      <c r="G125" s="190">
        <v>0</v>
      </c>
      <c r="H125" s="190">
        <v>0</v>
      </c>
      <c r="I125" s="190">
        <v>0</v>
      </c>
      <c r="J125" s="190">
        <v>84862482</v>
      </c>
      <c r="K125" s="190">
        <v>0</v>
      </c>
      <c r="L125" s="191">
        <v>0</v>
      </c>
      <c r="M125" s="190">
        <v>0</v>
      </c>
      <c r="N125" s="190">
        <v>0</v>
      </c>
      <c r="O125" s="190">
        <v>0</v>
      </c>
      <c r="P125" s="190">
        <v>0</v>
      </c>
      <c r="Q125" s="190">
        <v>0</v>
      </c>
      <c r="R125" s="190">
        <v>0</v>
      </c>
      <c r="S125" s="190">
        <v>0</v>
      </c>
      <c r="T125" s="190">
        <v>4368847</v>
      </c>
      <c r="U125" s="192">
        <v>89864667</v>
      </c>
    </row>
    <row r="126" spans="1:21" ht="36">
      <c r="A126" s="118" t="s">
        <v>243</v>
      </c>
      <c r="B126" s="190">
        <v>0</v>
      </c>
      <c r="C126" s="190">
        <v>0</v>
      </c>
      <c r="D126" s="190">
        <v>0</v>
      </c>
      <c r="E126" s="190">
        <v>0</v>
      </c>
      <c r="F126" s="190">
        <v>0</v>
      </c>
      <c r="G126" s="190">
        <v>0</v>
      </c>
      <c r="H126" s="190">
        <v>18020962</v>
      </c>
      <c r="I126" s="190">
        <v>0</v>
      </c>
      <c r="J126" s="190">
        <v>0</v>
      </c>
      <c r="K126" s="190">
        <v>0</v>
      </c>
      <c r="L126" s="191">
        <v>0</v>
      </c>
      <c r="M126" s="190">
        <v>0</v>
      </c>
      <c r="N126" s="190">
        <v>0</v>
      </c>
      <c r="O126" s="190">
        <v>0</v>
      </c>
      <c r="P126" s="190">
        <v>0</v>
      </c>
      <c r="Q126" s="190">
        <v>0</v>
      </c>
      <c r="R126" s="190">
        <v>0</v>
      </c>
      <c r="S126" s="190">
        <v>0</v>
      </c>
      <c r="T126" s="190">
        <v>42750294</v>
      </c>
      <c r="U126" s="192">
        <v>60771256</v>
      </c>
    </row>
    <row r="127" spans="1:21" ht="36">
      <c r="A127" s="120" t="s">
        <v>244</v>
      </c>
      <c r="B127" s="190">
        <v>65990861</v>
      </c>
      <c r="C127" s="190">
        <v>0</v>
      </c>
      <c r="D127" s="190">
        <v>0</v>
      </c>
      <c r="E127" s="190">
        <v>395792</v>
      </c>
      <c r="F127" s="190">
        <v>0</v>
      </c>
      <c r="G127" s="190">
        <v>77286834</v>
      </c>
      <c r="H127" s="190">
        <v>0</v>
      </c>
      <c r="I127" s="190">
        <v>0</v>
      </c>
      <c r="J127" s="190">
        <v>26281270</v>
      </c>
      <c r="K127" s="190">
        <v>708989</v>
      </c>
      <c r="L127" s="191">
        <v>0</v>
      </c>
      <c r="M127" s="190">
        <v>0</v>
      </c>
      <c r="N127" s="190">
        <v>0</v>
      </c>
      <c r="O127" s="190">
        <v>0</v>
      </c>
      <c r="P127" s="190">
        <v>0</v>
      </c>
      <c r="Q127" s="190">
        <v>0</v>
      </c>
      <c r="R127" s="190">
        <v>0</v>
      </c>
      <c r="S127" s="190">
        <v>0</v>
      </c>
      <c r="T127" s="190">
        <v>87809056</v>
      </c>
      <c r="U127" s="192">
        <v>258472802</v>
      </c>
    </row>
    <row r="128" spans="1:21" ht="36">
      <c r="A128" s="120" t="s">
        <v>232</v>
      </c>
      <c r="B128" s="190">
        <v>21521953</v>
      </c>
      <c r="C128" s="190">
        <v>0</v>
      </c>
      <c r="D128" s="190">
        <v>0</v>
      </c>
      <c r="E128" s="190">
        <v>0</v>
      </c>
      <c r="F128" s="190">
        <v>34611707</v>
      </c>
      <c r="G128" s="190">
        <v>0</v>
      </c>
      <c r="H128" s="190">
        <v>0</v>
      </c>
      <c r="I128" s="190">
        <v>2659370</v>
      </c>
      <c r="J128" s="190">
        <v>0</v>
      </c>
      <c r="K128" s="190">
        <v>0</v>
      </c>
      <c r="L128" s="191">
        <v>0</v>
      </c>
      <c r="M128" s="190">
        <v>0</v>
      </c>
      <c r="N128" s="190">
        <v>0</v>
      </c>
      <c r="O128" s="190">
        <v>0</v>
      </c>
      <c r="P128" s="190">
        <v>0</v>
      </c>
      <c r="Q128" s="190">
        <v>0</v>
      </c>
      <c r="R128" s="190">
        <v>0</v>
      </c>
      <c r="S128" s="190">
        <v>0</v>
      </c>
      <c r="T128" s="190">
        <v>0</v>
      </c>
      <c r="U128" s="192">
        <v>58793030</v>
      </c>
    </row>
    <row r="129" spans="1:21" ht="36">
      <c r="A129" s="120" t="s">
        <v>242</v>
      </c>
      <c r="B129" s="190">
        <v>0</v>
      </c>
      <c r="C129" s="190">
        <v>0</v>
      </c>
      <c r="D129" s="190">
        <v>0</v>
      </c>
      <c r="E129" s="190">
        <v>39000000</v>
      </c>
      <c r="F129" s="190">
        <v>0</v>
      </c>
      <c r="G129" s="190">
        <v>0</v>
      </c>
      <c r="H129" s="190">
        <v>0</v>
      </c>
      <c r="I129" s="190">
        <v>0</v>
      </c>
      <c r="J129" s="190">
        <v>0</v>
      </c>
      <c r="K129" s="190">
        <v>0</v>
      </c>
      <c r="L129" s="191">
        <v>0</v>
      </c>
      <c r="M129" s="190">
        <v>0</v>
      </c>
      <c r="N129" s="190">
        <v>0</v>
      </c>
      <c r="O129" s="190">
        <v>0</v>
      </c>
      <c r="P129" s="190">
        <v>0</v>
      </c>
      <c r="Q129" s="190">
        <v>0</v>
      </c>
      <c r="R129" s="190">
        <v>0</v>
      </c>
      <c r="S129" s="190">
        <v>0</v>
      </c>
      <c r="T129" s="190">
        <v>0</v>
      </c>
      <c r="U129" s="192">
        <v>39000000</v>
      </c>
    </row>
    <row r="130" spans="1:21" ht="36">
      <c r="A130" s="127" t="s">
        <v>241</v>
      </c>
      <c r="B130" s="190">
        <v>0</v>
      </c>
      <c r="C130" s="190">
        <v>0</v>
      </c>
      <c r="D130" s="190">
        <v>2131612</v>
      </c>
      <c r="E130" s="190">
        <v>0</v>
      </c>
      <c r="F130" s="190">
        <v>0</v>
      </c>
      <c r="G130" s="190">
        <v>0</v>
      </c>
      <c r="H130" s="190">
        <v>0</v>
      </c>
      <c r="I130" s="190">
        <v>0</v>
      </c>
      <c r="J130" s="190">
        <v>0</v>
      </c>
      <c r="K130" s="190">
        <v>0</v>
      </c>
      <c r="L130" s="191">
        <v>0</v>
      </c>
      <c r="M130" s="190">
        <v>0</v>
      </c>
      <c r="N130" s="190">
        <v>0</v>
      </c>
      <c r="O130" s="190">
        <v>0</v>
      </c>
      <c r="P130" s="190">
        <v>0</v>
      </c>
      <c r="Q130" s="190">
        <v>0</v>
      </c>
      <c r="R130" s="190">
        <v>0</v>
      </c>
      <c r="S130" s="190">
        <v>0</v>
      </c>
      <c r="T130" s="190">
        <v>50897613</v>
      </c>
      <c r="U130" s="192">
        <v>53029225</v>
      </c>
    </row>
    <row r="131" spans="1:21" ht="37.5">
      <c r="A131" s="185" t="s">
        <v>197</v>
      </c>
      <c r="B131" s="193">
        <v>0</v>
      </c>
      <c r="C131" s="190">
        <v>0</v>
      </c>
      <c r="D131" s="190">
        <v>0</v>
      </c>
      <c r="E131" s="190">
        <v>0</v>
      </c>
      <c r="F131" s="190">
        <v>0</v>
      </c>
      <c r="G131" s="190">
        <v>0</v>
      </c>
      <c r="H131" s="190">
        <v>0</v>
      </c>
      <c r="I131" s="190">
        <v>0</v>
      </c>
      <c r="J131" s="190">
        <v>0</v>
      </c>
      <c r="K131" s="190">
        <v>0</v>
      </c>
      <c r="L131" s="191">
        <v>0</v>
      </c>
      <c r="M131" s="190">
        <v>0</v>
      </c>
      <c r="N131" s="190">
        <v>0</v>
      </c>
      <c r="O131" s="190">
        <v>0</v>
      </c>
      <c r="P131" s="190">
        <v>0</v>
      </c>
      <c r="Q131" s="190">
        <v>0</v>
      </c>
      <c r="R131" s="190">
        <v>0</v>
      </c>
      <c r="S131" s="190">
        <v>0</v>
      </c>
      <c r="T131" s="190">
        <v>32520000</v>
      </c>
      <c r="U131" s="192">
        <v>32520000</v>
      </c>
    </row>
    <row r="132" spans="1:21" ht="36">
      <c r="A132" s="121" t="s">
        <v>237</v>
      </c>
      <c r="B132" s="190">
        <v>58422931</v>
      </c>
      <c r="C132" s="190">
        <v>0</v>
      </c>
      <c r="D132" s="190">
        <v>0</v>
      </c>
      <c r="E132" s="190">
        <v>0</v>
      </c>
      <c r="F132" s="190">
        <v>9736128</v>
      </c>
      <c r="G132" s="190">
        <v>0</v>
      </c>
      <c r="H132" s="190">
        <v>0</v>
      </c>
      <c r="I132" s="190">
        <v>9645157</v>
      </c>
      <c r="J132" s="190">
        <v>21476042</v>
      </c>
      <c r="K132" s="190">
        <v>0</v>
      </c>
      <c r="L132" s="191">
        <v>0</v>
      </c>
      <c r="M132" s="190">
        <v>0</v>
      </c>
      <c r="N132" s="190">
        <v>0</v>
      </c>
      <c r="O132" s="190">
        <v>0</v>
      </c>
      <c r="P132" s="190">
        <v>0</v>
      </c>
      <c r="Q132" s="190">
        <v>0</v>
      </c>
      <c r="R132" s="190">
        <v>0</v>
      </c>
      <c r="S132" s="190">
        <v>0</v>
      </c>
      <c r="T132" s="190">
        <v>6541353</v>
      </c>
      <c r="U132" s="192">
        <v>105821611</v>
      </c>
    </row>
    <row r="133" spans="1:21" ht="36">
      <c r="A133" s="121" t="s">
        <v>125</v>
      </c>
      <c r="B133" s="190">
        <v>0</v>
      </c>
      <c r="C133" s="190">
        <v>0</v>
      </c>
      <c r="D133" s="190">
        <v>0</v>
      </c>
      <c r="E133" s="190">
        <v>0</v>
      </c>
      <c r="F133" s="190">
        <v>0</v>
      </c>
      <c r="G133" s="190">
        <v>0</v>
      </c>
      <c r="H133" s="190">
        <v>0</v>
      </c>
      <c r="I133" s="190">
        <v>0</v>
      </c>
      <c r="J133" s="190">
        <v>0</v>
      </c>
      <c r="K133" s="190">
        <v>0</v>
      </c>
      <c r="L133" s="191">
        <v>0</v>
      </c>
      <c r="M133" s="190">
        <v>0</v>
      </c>
      <c r="N133" s="190">
        <v>0</v>
      </c>
      <c r="O133" s="190">
        <v>0</v>
      </c>
      <c r="P133" s="190">
        <v>0</v>
      </c>
      <c r="Q133" s="190">
        <v>0</v>
      </c>
      <c r="R133" s="190">
        <v>0</v>
      </c>
      <c r="S133" s="190">
        <v>0</v>
      </c>
      <c r="T133" s="190">
        <v>21718294</v>
      </c>
      <c r="U133" s="192">
        <v>21718294</v>
      </c>
    </row>
    <row r="134" spans="1:21" ht="37.5">
      <c r="A134" s="178" t="s">
        <v>283</v>
      </c>
      <c r="B134" s="193">
        <v>0</v>
      </c>
      <c r="C134" s="190">
        <v>0</v>
      </c>
      <c r="D134" s="190">
        <v>20804351</v>
      </c>
      <c r="E134" s="190">
        <v>0</v>
      </c>
      <c r="F134" s="190">
        <v>0</v>
      </c>
      <c r="G134" s="190">
        <v>0</v>
      </c>
      <c r="H134" s="190">
        <v>0</v>
      </c>
      <c r="I134" s="190">
        <v>0</v>
      </c>
      <c r="J134" s="190">
        <v>0</v>
      </c>
      <c r="K134" s="190">
        <v>0</v>
      </c>
      <c r="L134" s="191">
        <v>0</v>
      </c>
      <c r="M134" s="190">
        <v>0</v>
      </c>
      <c r="N134" s="190">
        <v>0</v>
      </c>
      <c r="O134" s="190">
        <v>0</v>
      </c>
      <c r="P134" s="195">
        <v>0</v>
      </c>
      <c r="Q134" s="194">
        <v>0</v>
      </c>
      <c r="R134" s="190">
        <v>0</v>
      </c>
      <c r="S134" s="190">
        <v>0</v>
      </c>
      <c r="T134" s="190">
        <v>0</v>
      </c>
      <c r="U134" s="192">
        <v>20804351</v>
      </c>
    </row>
    <row r="135" spans="1:21" ht="36">
      <c r="A135" s="120" t="s">
        <v>211</v>
      </c>
      <c r="B135" s="190">
        <v>4830969</v>
      </c>
      <c r="C135" s="190">
        <v>0</v>
      </c>
      <c r="D135" s="190">
        <v>0</v>
      </c>
      <c r="E135" s="190">
        <v>1837491</v>
      </c>
      <c r="F135" s="190">
        <v>0</v>
      </c>
      <c r="G135" s="190">
        <v>12862509</v>
      </c>
      <c r="H135" s="190">
        <v>0</v>
      </c>
      <c r="I135" s="190">
        <v>0</v>
      </c>
      <c r="J135" s="190">
        <v>0</v>
      </c>
      <c r="K135" s="190">
        <v>0</v>
      </c>
      <c r="L135" s="191">
        <v>0</v>
      </c>
      <c r="M135" s="190">
        <v>0</v>
      </c>
      <c r="N135" s="190">
        <v>0</v>
      </c>
      <c r="O135" s="190">
        <v>0</v>
      </c>
      <c r="P135" s="190">
        <v>0</v>
      </c>
      <c r="Q135" s="190">
        <v>0</v>
      </c>
      <c r="R135" s="190">
        <v>0</v>
      </c>
      <c r="S135" s="190">
        <v>0</v>
      </c>
      <c r="T135" s="190">
        <v>26215400</v>
      </c>
      <c r="U135" s="192">
        <v>45746369</v>
      </c>
    </row>
    <row r="136" spans="1:21" ht="36">
      <c r="A136" s="119" t="s">
        <v>234</v>
      </c>
      <c r="B136" s="190">
        <v>0</v>
      </c>
      <c r="C136" s="190">
        <v>6941597</v>
      </c>
      <c r="D136" s="190">
        <v>0</v>
      </c>
      <c r="E136" s="190">
        <v>29600000</v>
      </c>
      <c r="F136" s="190">
        <v>0</v>
      </c>
      <c r="G136" s="190">
        <v>0</v>
      </c>
      <c r="H136" s="190">
        <v>1461378</v>
      </c>
      <c r="I136" s="190">
        <v>0</v>
      </c>
      <c r="J136" s="190">
        <v>122268</v>
      </c>
      <c r="K136" s="190">
        <v>366806</v>
      </c>
      <c r="L136" s="191">
        <v>0</v>
      </c>
      <c r="M136" s="190">
        <v>0</v>
      </c>
      <c r="N136" s="190">
        <v>0</v>
      </c>
      <c r="O136" s="190">
        <v>0</v>
      </c>
      <c r="P136" s="190">
        <v>0</v>
      </c>
      <c r="Q136" s="190">
        <v>0</v>
      </c>
      <c r="R136" s="190">
        <v>0</v>
      </c>
      <c r="S136" s="190">
        <v>0</v>
      </c>
      <c r="T136" s="190">
        <v>4309965</v>
      </c>
      <c r="U136" s="192">
        <v>42802014</v>
      </c>
    </row>
    <row r="137" spans="1:21" ht="18.75">
      <c r="A137" s="186" t="s">
        <v>50</v>
      </c>
      <c r="B137" s="194">
        <v>9950000</v>
      </c>
      <c r="C137" s="190">
        <v>0</v>
      </c>
      <c r="D137" s="190">
        <v>0</v>
      </c>
      <c r="E137" s="190">
        <v>0</v>
      </c>
      <c r="F137" s="190">
        <v>0</v>
      </c>
      <c r="G137" s="190">
        <v>0</v>
      </c>
      <c r="H137" s="190">
        <v>0</v>
      </c>
      <c r="I137" s="190">
        <v>0</v>
      </c>
      <c r="J137" s="190">
        <v>0</v>
      </c>
      <c r="K137" s="190">
        <v>0</v>
      </c>
      <c r="L137" s="191">
        <v>0</v>
      </c>
      <c r="M137" s="190">
        <v>0</v>
      </c>
      <c r="N137" s="190">
        <v>0</v>
      </c>
      <c r="O137" s="190">
        <v>0</v>
      </c>
      <c r="P137" s="195">
        <v>0</v>
      </c>
      <c r="Q137" s="194">
        <v>0</v>
      </c>
      <c r="R137" s="190">
        <v>0</v>
      </c>
      <c r="S137" s="190">
        <v>0</v>
      </c>
      <c r="T137" s="190">
        <v>1502237</v>
      </c>
      <c r="U137" s="192">
        <v>11452237</v>
      </c>
    </row>
    <row r="138" spans="1:21" ht="18.75">
      <c r="A138" s="187" t="s">
        <v>48</v>
      </c>
      <c r="B138" s="193">
        <v>0</v>
      </c>
      <c r="C138" s="190">
        <v>0</v>
      </c>
      <c r="D138" s="190">
        <v>0</v>
      </c>
      <c r="E138" s="190">
        <v>0</v>
      </c>
      <c r="F138" s="190">
        <v>0</v>
      </c>
      <c r="G138" s="190">
        <v>0</v>
      </c>
      <c r="H138" s="190">
        <v>0</v>
      </c>
      <c r="I138" s="190">
        <v>0</v>
      </c>
      <c r="J138" s="190">
        <v>0</v>
      </c>
      <c r="K138" s="190">
        <v>0</v>
      </c>
      <c r="L138" s="191">
        <v>0</v>
      </c>
      <c r="M138" s="190">
        <v>0</v>
      </c>
      <c r="N138" s="190">
        <v>0</v>
      </c>
      <c r="O138" s="190">
        <v>0</v>
      </c>
      <c r="P138" s="190">
        <v>0</v>
      </c>
      <c r="Q138" s="190">
        <v>0</v>
      </c>
      <c r="R138" s="190">
        <v>0</v>
      </c>
      <c r="S138" s="190">
        <v>0</v>
      </c>
      <c r="T138" s="190">
        <v>19469593</v>
      </c>
      <c r="U138" s="192">
        <v>19469593</v>
      </c>
    </row>
    <row r="139" spans="1:21" ht="37.5">
      <c r="A139" s="177" t="s">
        <v>284</v>
      </c>
      <c r="B139" s="193">
        <v>0</v>
      </c>
      <c r="C139" s="190">
        <v>0</v>
      </c>
      <c r="D139" s="190">
        <v>6472639</v>
      </c>
      <c r="E139" s="190">
        <v>0</v>
      </c>
      <c r="F139" s="190">
        <v>0</v>
      </c>
      <c r="G139" s="190">
        <v>0</v>
      </c>
      <c r="H139" s="190">
        <v>0</v>
      </c>
      <c r="I139" s="190">
        <v>0</v>
      </c>
      <c r="J139" s="190">
        <v>0</v>
      </c>
      <c r="K139" s="190">
        <v>0</v>
      </c>
      <c r="L139" s="191">
        <v>0</v>
      </c>
      <c r="M139" s="190">
        <v>0</v>
      </c>
      <c r="N139" s="190">
        <v>0</v>
      </c>
      <c r="O139" s="190">
        <v>0</v>
      </c>
      <c r="P139" s="190">
        <v>0</v>
      </c>
      <c r="Q139" s="190">
        <v>0</v>
      </c>
      <c r="R139" s="190">
        <v>0</v>
      </c>
      <c r="S139" s="190">
        <v>0</v>
      </c>
      <c r="T139" s="190">
        <v>181164</v>
      </c>
      <c r="U139" s="192">
        <v>6653803</v>
      </c>
    </row>
    <row r="140" spans="1:21" ht="36">
      <c r="A140" s="120" t="s">
        <v>235</v>
      </c>
      <c r="B140" s="190">
        <v>0</v>
      </c>
      <c r="C140" s="190">
        <v>0</v>
      </c>
      <c r="D140" s="190">
        <v>0</v>
      </c>
      <c r="E140" s="190">
        <v>0</v>
      </c>
      <c r="F140" s="190">
        <v>684790</v>
      </c>
      <c r="G140" s="190">
        <v>0</v>
      </c>
      <c r="H140" s="190">
        <v>0</v>
      </c>
      <c r="I140" s="190">
        <v>0</v>
      </c>
      <c r="J140" s="190">
        <v>0</v>
      </c>
      <c r="K140" s="190">
        <v>0</v>
      </c>
      <c r="L140" s="191">
        <v>0</v>
      </c>
      <c r="M140" s="190">
        <v>0</v>
      </c>
      <c r="N140" s="190">
        <v>0</v>
      </c>
      <c r="O140" s="190">
        <v>0</v>
      </c>
      <c r="P140" s="190">
        <v>0</v>
      </c>
      <c r="Q140" s="190">
        <v>0</v>
      </c>
      <c r="R140" s="190">
        <v>0</v>
      </c>
      <c r="S140" s="190">
        <v>0</v>
      </c>
      <c r="T140" s="190">
        <v>2666090</v>
      </c>
      <c r="U140" s="192">
        <v>3350880</v>
      </c>
    </row>
    <row r="141" spans="1:21" ht="36">
      <c r="A141" s="120" t="s">
        <v>233</v>
      </c>
      <c r="B141" s="190">
        <v>0</v>
      </c>
      <c r="C141" s="190">
        <v>0</v>
      </c>
      <c r="D141" s="190">
        <v>0</v>
      </c>
      <c r="E141" s="190">
        <v>0</v>
      </c>
      <c r="F141" s="190">
        <v>0</v>
      </c>
      <c r="G141" s="190">
        <v>0</v>
      </c>
      <c r="H141" s="190">
        <v>0</v>
      </c>
      <c r="I141" s="190">
        <v>1268581</v>
      </c>
      <c r="J141" s="190">
        <v>0</v>
      </c>
      <c r="K141" s="190">
        <v>6192772</v>
      </c>
      <c r="L141" s="191">
        <v>0</v>
      </c>
      <c r="M141" s="190">
        <v>0</v>
      </c>
      <c r="N141" s="190">
        <v>0</v>
      </c>
      <c r="O141" s="190">
        <v>0</v>
      </c>
      <c r="P141" s="190">
        <v>0</v>
      </c>
      <c r="Q141" s="190">
        <v>0</v>
      </c>
      <c r="R141" s="190">
        <v>0</v>
      </c>
      <c r="S141" s="190">
        <v>0</v>
      </c>
      <c r="T141" s="190">
        <v>0</v>
      </c>
      <c r="U141" s="192">
        <v>7461353</v>
      </c>
    </row>
    <row r="142" spans="1:21" ht="36">
      <c r="A142" s="121" t="s">
        <v>186</v>
      </c>
      <c r="B142" s="190">
        <v>0</v>
      </c>
      <c r="C142" s="190">
        <v>0</v>
      </c>
      <c r="D142" s="190">
        <v>0</v>
      </c>
      <c r="E142" s="190">
        <v>0</v>
      </c>
      <c r="F142" s="190">
        <v>0</v>
      </c>
      <c r="G142" s="190">
        <v>0</v>
      </c>
      <c r="H142" s="190">
        <v>0</v>
      </c>
      <c r="I142" s="190">
        <v>0</v>
      </c>
      <c r="J142" s="190">
        <v>0</v>
      </c>
      <c r="K142" s="190">
        <v>0</v>
      </c>
      <c r="L142" s="191">
        <v>0</v>
      </c>
      <c r="M142" s="190">
        <v>0</v>
      </c>
      <c r="N142" s="190">
        <v>0</v>
      </c>
      <c r="O142" s="190">
        <v>0</v>
      </c>
      <c r="P142" s="190">
        <v>0</v>
      </c>
      <c r="Q142" s="190">
        <v>0</v>
      </c>
      <c r="R142" s="190">
        <v>0</v>
      </c>
      <c r="S142" s="190">
        <v>0</v>
      </c>
      <c r="T142" s="190">
        <v>8093398</v>
      </c>
      <c r="U142" s="192">
        <v>8093398</v>
      </c>
    </row>
    <row r="143" spans="1:21" ht="18.75">
      <c r="A143" s="188" t="s">
        <v>51</v>
      </c>
      <c r="B143" s="194">
        <v>729596</v>
      </c>
      <c r="C143" s="190">
        <v>0</v>
      </c>
      <c r="D143" s="190">
        <v>0</v>
      </c>
      <c r="E143" s="190">
        <v>0</v>
      </c>
      <c r="F143" s="190">
        <v>0</v>
      </c>
      <c r="G143" s="190">
        <v>0</v>
      </c>
      <c r="H143" s="190">
        <v>0</v>
      </c>
      <c r="I143" s="190">
        <v>0</v>
      </c>
      <c r="J143" s="190">
        <v>0</v>
      </c>
      <c r="K143" s="190">
        <v>0</v>
      </c>
      <c r="L143" s="191">
        <v>0</v>
      </c>
      <c r="M143" s="190">
        <v>0</v>
      </c>
      <c r="N143" s="190">
        <v>0</v>
      </c>
      <c r="O143" s="190">
        <v>0</v>
      </c>
      <c r="P143" s="195">
        <v>0</v>
      </c>
      <c r="Q143" s="194">
        <v>0</v>
      </c>
      <c r="R143" s="190">
        <v>0</v>
      </c>
      <c r="S143" s="190">
        <v>0</v>
      </c>
      <c r="T143" s="190">
        <v>1860828</v>
      </c>
      <c r="U143" s="192">
        <v>2590424</v>
      </c>
    </row>
    <row r="144" spans="1:21" ht="37.5">
      <c r="A144" s="189" t="s">
        <v>275</v>
      </c>
      <c r="B144" s="193">
        <v>0</v>
      </c>
      <c r="C144" s="190">
        <v>0</v>
      </c>
      <c r="D144" s="190">
        <v>0</v>
      </c>
      <c r="E144" s="190">
        <v>0</v>
      </c>
      <c r="F144" s="190">
        <v>0</v>
      </c>
      <c r="G144" s="190">
        <v>0</v>
      </c>
      <c r="H144" s="190">
        <v>0</v>
      </c>
      <c r="I144" s="190">
        <v>2438868</v>
      </c>
      <c r="J144" s="190">
        <v>0</v>
      </c>
      <c r="K144" s="190">
        <v>0</v>
      </c>
      <c r="L144" s="191">
        <v>0</v>
      </c>
      <c r="M144" s="190">
        <v>0</v>
      </c>
      <c r="N144" s="190">
        <v>0</v>
      </c>
      <c r="O144" s="190">
        <v>0</v>
      </c>
      <c r="P144" s="195">
        <v>0</v>
      </c>
      <c r="Q144" s="194">
        <v>0</v>
      </c>
      <c r="R144" s="190">
        <v>0</v>
      </c>
      <c r="S144" s="190">
        <v>0</v>
      </c>
      <c r="T144" s="190">
        <v>2076319</v>
      </c>
      <c r="U144" s="192">
        <v>4515187</v>
      </c>
    </row>
    <row r="145" spans="1:21" ht="36">
      <c r="A145" s="121" t="s">
        <v>184</v>
      </c>
      <c r="B145" s="190">
        <v>0</v>
      </c>
      <c r="C145" s="190">
        <v>0</v>
      </c>
      <c r="D145" s="190">
        <v>0</v>
      </c>
      <c r="E145" s="190">
        <v>0</v>
      </c>
      <c r="F145" s="190">
        <v>0</v>
      </c>
      <c r="G145" s="190">
        <v>0</v>
      </c>
      <c r="H145" s="190">
        <v>0</v>
      </c>
      <c r="I145" s="190">
        <v>0</v>
      </c>
      <c r="J145" s="190">
        <v>0</v>
      </c>
      <c r="K145" s="190">
        <v>0</v>
      </c>
      <c r="L145" s="191">
        <v>0</v>
      </c>
      <c r="M145" s="190">
        <v>0</v>
      </c>
      <c r="N145" s="190">
        <v>0</v>
      </c>
      <c r="O145" s="190">
        <v>0</v>
      </c>
      <c r="P145" s="190">
        <v>0</v>
      </c>
      <c r="Q145" s="190">
        <v>0</v>
      </c>
      <c r="R145" s="190">
        <v>0</v>
      </c>
      <c r="S145" s="190">
        <v>0</v>
      </c>
      <c r="T145" s="190">
        <v>738674</v>
      </c>
      <c r="U145" s="192">
        <v>738674</v>
      </c>
    </row>
    <row r="146" spans="1:21" ht="36">
      <c r="A146" s="121" t="s">
        <v>75</v>
      </c>
      <c r="B146" s="190">
        <v>0</v>
      </c>
      <c r="C146" s="190">
        <v>613589</v>
      </c>
      <c r="D146" s="190">
        <v>0</v>
      </c>
      <c r="E146" s="190">
        <v>0</v>
      </c>
      <c r="F146" s="190">
        <v>0</v>
      </c>
      <c r="G146" s="190">
        <v>0</v>
      </c>
      <c r="H146" s="190">
        <v>0</v>
      </c>
      <c r="I146" s="190">
        <v>0</v>
      </c>
      <c r="J146" s="190">
        <v>0</v>
      </c>
      <c r="K146" s="190">
        <v>721546</v>
      </c>
      <c r="L146" s="191">
        <v>0</v>
      </c>
      <c r="M146" s="190">
        <v>0</v>
      </c>
      <c r="N146" s="190">
        <v>0</v>
      </c>
      <c r="O146" s="190">
        <v>0</v>
      </c>
      <c r="P146" s="190">
        <v>0</v>
      </c>
      <c r="Q146" s="190">
        <v>0</v>
      </c>
      <c r="R146" s="190">
        <v>0</v>
      </c>
      <c r="S146" s="190">
        <v>0</v>
      </c>
      <c r="T146" s="190">
        <v>46685000</v>
      </c>
      <c r="U146" s="192">
        <v>48020135</v>
      </c>
    </row>
    <row r="147" spans="1:21" ht="36">
      <c r="A147" s="127" t="s">
        <v>239</v>
      </c>
      <c r="B147" s="190">
        <v>0</v>
      </c>
      <c r="C147" s="190">
        <v>0</v>
      </c>
      <c r="D147" s="190">
        <v>0</v>
      </c>
      <c r="E147" s="190">
        <v>0</v>
      </c>
      <c r="F147" s="190">
        <v>0</v>
      </c>
      <c r="G147" s="190">
        <v>0</v>
      </c>
      <c r="H147" s="190">
        <v>0</v>
      </c>
      <c r="I147" s="190">
        <v>0</v>
      </c>
      <c r="J147" s="190">
        <v>0</v>
      </c>
      <c r="K147" s="190">
        <v>0</v>
      </c>
      <c r="L147" s="191">
        <v>0</v>
      </c>
      <c r="M147" s="190">
        <v>0</v>
      </c>
      <c r="N147" s="190">
        <v>0</v>
      </c>
      <c r="O147" s="190">
        <v>0</v>
      </c>
      <c r="P147" s="190">
        <v>0</v>
      </c>
      <c r="Q147" s="190">
        <v>0</v>
      </c>
      <c r="R147" s="190">
        <v>0</v>
      </c>
      <c r="S147" s="190">
        <v>0</v>
      </c>
      <c r="T147" s="190">
        <v>423595</v>
      </c>
      <c r="U147" s="192">
        <v>423595</v>
      </c>
    </row>
    <row r="148" spans="1:21" ht="37.5">
      <c r="A148" s="178" t="s">
        <v>285</v>
      </c>
      <c r="B148" s="193">
        <v>0</v>
      </c>
      <c r="C148" s="190">
        <v>0</v>
      </c>
      <c r="D148" s="190">
        <v>0</v>
      </c>
      <c r="E148" s="190">
        <v>0</v>
      </c>
      <c r="F148" s="190">
        <v>0</v>
      </c>
      <c r="G148" s="190">
        <v>0</v>
      </c>
      <c r="H148" s="190">
        <v>0</v>
      </c>
      <c r="I148" s="190">
        <v>0</v>
      </c>
      <c r="J148" s="190">
        <v>0</v>
      </c>
      <c r="K148" s="190">
        <v>0</v>
      </c>
      <c r="L148" s="191">
        <v>0</v>
      </c>
      <c r="M148" s="190">
        <v>0</v>
      </c>
      <c r="N148" s="190">
        <v>0</v>
      </c>
      <c r="O148" s="190">
        <v>0</v>
      </c>
      <c r="P148" s="195">
        <v>0</v>
      </c>
      <c r="Q148" s="194">
        <v>0</v>
      </c>
      <c r="R148" s="190">
        <v>0</v>
      </c>
      <c r="S148" s="190">
        <v>0</v>
      </c>
      <c r="T148" s="190">
        <v>2277255</v>
      </c>
      <c r="U148" s="192">
        <v>2277255</v>
      </c>
    </row>
    <row r="149" spans="1:21" ht="37.5">
      <c r="A149" s="178" t="s">
        <v>203</v>
      </c>
      <c r="B149" s="193">
        <v>0</v>
      </c>
      <c r="C149" s="190">
        <v>0</v>
      </c>
      <c r="D149" s="190">
        <v>0</v>
      </c>
      <c r="E149" s="190">
        <v>0</v>
      </c>
      <c r="F149" s="190">
        <v>0</v>
      </c>
      <c r="G149" s="190">
        <v>0</v>
      </c>
      <c r="H149" s="190">
        <v>0</v>
      </c>
      <c r="I149" s="190">
        <v>0</v>
      </c>
      <c r="J149" s="190">
        <v>0</v>
      </c>
      <c r="K149" s="190">
        <v>0</v>
      </c>
      <c r="L149" s="191">
        <v>0</v>
      </c>
      <c r="M149" s="190">
        <v>0</v>
      </c>
      <c r="N149" s="190">
        <v>0</v>
      </c>
      <c r="O149" s="190">
        <v>0</v>
      </c>
      <c r="P149" s="195">
        <v>0</v>
      </c>
      <c r="Q149" s="194">
        <v>0</v>
      </c>
      <c r="R149" s="190">
        <v>0</v>
      </c>
      <c r="S149" s="190">
        <v>0</v>
      </c>
      <c r="T149" s="190">
        <v>221806</v>
      </c>
      <c r="U149" s="192">
        <v>221806</v>
      </c>
    </row>
    <row r="150" spans="1:21" ht="37.5">
      <c r="A150" s="176" t="s">
        <v>204</v>
      </c>
      <c r="B150" s="194">
        <v>0</v>
      </c>
      <c r="C150" s="190">
        <v>0</v>
      </c>
      <c r="D150" s="190">
        <v>0</v>
      </c>
      <c r="E150" s="190">
        <v>0</v>
      </c>
      <c r="F150" s="190">
        <v>0</v>
      </c>
      <c r="G150" s="190">
        <v>0</v>
      </c>
      <c r="H150" s="190">
        <v>0</v>
      </c>
      <c r="I150" s="190">
        <v>0</v>
      </c>
      <c r="J150" s="190">
        <v>0</v>
      </c>
      <c r="K150" s="190">
        <v>0</v>
      </c>
      <c r="L150" s="191">
        <v>0</v>
      </c>
      <c r="M150" s="190">
        <v>0</v>
      </c>
      <c r="N150" s="190">
        <v>0</v>
      </c>
      <c r="O150" s="190">
        <v>0</v>
      </c>
      <c r="P150" s="195">
        <v>0</v>
      </c>
      <c r="Q150" s="194">
        <v>0</v>
      </c>
      <c r="R150" s="190">
        <v>0</v>
      </c>
      <c r="S150" s="190">
        <v>0</v>
      </c>
      <c r="T150" s="190">
        <v>108960</v>
      </c>
      <c r="U150" s="192">
        <v>108960</v>
      </c>
    </row>
    <row r="151" spans="1:21" ht="36">
      <c r="A151" s="132" t="s">
        <v>236</v>
      </c>
      <c r="B151" s="190">
        <v>0</v>
      </c>
      <c r="C151" s="190">
        <v>0</v>
      </c>
      <c r="D151" s="190">
        <v>0</v>
      </c>
      <c r="E151" s="190">
        <v>0</v>
      </c>
      <c r="F151" s="190">
        <v>0</v>
      </c>
      <c r="G151" s="190">
        <v>0</v>
      </c>
      <c r="H151" s="190">
        <v>0</v>
      </c>
      <c r="I151" s="190">
        <v>1018152</v>
      </c>
      <c r="J151" s="190">
        <v>0</v>
      </c>
      <c r="K151" s="190">
        <v>0</v>
      </c>
      <c r="L151" s="191">
        <v>0</v>
      </c>
      <c r="M151" s="190">
        <v>0</v>
      </c>
      <c r="N151" s="190">
        <v>0</v>
      </c>
      <c r="O151" s="190">
        <v>0</v>
      </c>
      <c r="P151" s="190">
        <v>0</v>
      </c>
      <c r="Q151" s="190">
        <v>0</v>
      </c>
      <c r="R151" s="190">
        <v>0</v>
      </c>
      <c r="S151" s="190">
        <v>0</v>
      </c>
      <c r="T151" s="190">
        <v>0</v>
      </c>
      <c r="U151" s="192">
        <v>1018152</v>
      </c>
    </row>
    <row r="152" spans="1:21" ht="37.5">
      <c r="A152" s="178" t="s">
        <v>202</v>
      </c>
      <c r="B152" s="193">
        <v>0</v>
      </c>
      <c r="C152" s="190">
        <v>0</v>
      </c>
      <c r="D152" s="190">
        <v>0</v>
      </c>
      <c r="E152" s="190">
        <v>0</v>
      </c>
      <c r="F152" s="190">
        <v>0</v>
      </c>
      <c r="G152" s="190">
        <v>0</v>
      </c>
      <c r="H152" s="190">
        <v>0</v>
      </c>
      <c r="I152" s="190">
        <v>0</v>
      </c>
      <c r="J152" s="190">
        <v>431552</v>
      </c>
      <c r="K152" s="190">
        <v>0</v>
      </c>
      <c r="L152" s="191">
        <v>0</v>
      </c>
      <c r="M152" s="190">
        <v>0</v>
      </c>
      <c r="N152" s="190">
        <v>0</v>
      </c>
      <c r="O152" s="190">
        <v>0</v>
      </c>
      <c r="P152" s="195">
        <v>0</v>
      </c>
      <c r="Q152" s="194">
        <v>0</v>
      </c>
      <c r="R152" s="190">
        <v>0</v>
      </c>
      <c r="S152" s="190">
        <v>0</v>
      </c>
      <c r="T152" s="190">
        <v>0</v>
      </c>
      <c r="U152" s="192">
        <v>431552</v>
      </c>
    </row>
    <row r="153" spans="1:21" ht="37.5">
      <c r="A153" s="178" t="s">
        <v>206</v>
      </c>
      <c r="B153" s="193">
        <v>0</v>
      </c>
      <c r="C153" s="190">
        <v>0</v>
      </c>
      <c r="D153" s="190">
        <v>0</v>
      </c>
      <c r="E153" s="190">
        <v>0</v>
      </c>
      <c r="F153" s="190">
        <v>9514</v>
      </c>
      <c r="G153" s="190">
        <v>0</v>
      </c>
      <c r="H153" s="190">
        <v>0</v>
      </c>
      <c r="I153" s="190">
        <v>0</v>
      </c>
      <c r="J153" s="190">
        <v>0</v>
      </c>
      <c r="K153" s="190">
        <v>0</v>
      </c>
      <c r="L153" s="191">
        <v>0</v>
      </c>
      <c r="M153" s="190">
        <v>0</v>
      </c>
      <c r="N153" s="190">
        <v>0</v>
      </c>
      <c r="O153" s="190">
        <v>0</v>
      </c>
      <c r="P153" s="195">
        <v>0</v>
      </c>
      <c r="Q153" s="194">
        <v>0</v>
      </c>
      <c r="R153" s="190">
        <v>0</v>
      </c>
      <c r="S153" s="190">
        <v>0</v>
      </c>
      <c r="T153" s="190">
        <v>0</v>
      </c>
      <c r="U153" s="192">
        <v>9514</v>
      </c>
    </row>
    <row r="154" spans="1:21" ht="37.5">
      <c r="A154" s="133" t="s">
        <v>76</v>
      </c>
      <c r="B154" s="190">
        <v>0</v>
      </c>
      <c r="C154" s="190">
        <v>74000000</v>
      </c>
      <c r="D154" s="190">
        <v>0</v>
      </c>
      <c r="E154" s="190">
        <v>0</v>
      </c>
      <c r="F154" s="190">
        <v>0</v>
      </c>
      <c r="G154" s="190">
        <v>0</v>
      </c>
      <c r="H154" s="190">
        <v>0</v>
      </c>
      <c r="I154" s="190">
        <v>0</v>
      </c>
      <c r="J154" s="190">
        <v>0</v>
      </c>
      <c r="K154" s="190">
        <v>0</v>
      </c>
      <c r="L154" s="191">
        <v>0</v>
      </c>
      <c r="M154" s="190">
        <v>0</v>
      </c>
      <c r="N154" s="190">
        <v>0</v>
      </c>
      <c r="O154" s="190">
        <v>0</v>
      </c>
      <c r="P154" s="190">
        <v>0</v>
      </c>
      <c r="Q154" s="190">
        <v>0</v>
      </c>
      <c r="R154" s="190">
        <v>0</v>
      </c>
      <c r="S154" s="190">
        <v>0</v>
      </c>
      <c r="T154" s="190">
        <v>0</v>
      </c>
      <c r="U154" s="192">
        <v>74000000</v>
      </c>
    </row>
    <row r="155" spans="1:21" ht="36">
      <c r="A155" s="127" t="s">
        <v>248</v>
      </c>
      <c r="B155" s="190">
        <v>0</v>
      </c>
      <c r="C155" s="190">
        <v>0</v>
      </c>
      <c r="D155" s="190">
        <v>0</v>
      </c>
      <c r="E155" s="190">
        <v>0</v>
      </c>
      <c r="F155" s="190">
        <v>7900000</v>
      </c>
      <c r="G155" s="190">
        <v>0</v>
      </c>
      <c r="H155" s="190">
        <v>0</v>
      </c>
      <c r="I155" s="190">
        <v>1780720</v>
      </c>
      <c r="J155" s="190">
        <v>0</v>
      </c>
      <c r="K155" s="190">
        <v>0</v>
      </c>
      <c r="L155" s="191">
        <v>0</v>
      </c>
      <c r="M155" s="190">
        <v>0</v>
      </c>
      <c r="N155" s="190">
        <v>0</v>
      </c>
      <c r="O155" s="190">
        <v>0</v>
      </c>
      <c r="P155" s="190">
        <v>0</v>
      </c>
      <c r="Q155" s="190">
        <v>0</v>
      </c>
      <c r="R155" s="190">
        <v>0</v>
      </c>
      <c r="S155" s="190">
        <v>0</v>
      </c>
      <c r="T155" s="190">
        <v>6900000</v>
      </c>
      <c r="U155" s="192">
        <v>16580720</v>
      </c>
    </row>
    <row r="156" spans="1:21" ht="37.5">
      <c r="A156" s="178" t="s">
        <v>205</v>
      </c>
      <c r="B156" s="193">
        <v>0</v>
      </c>
      <c r="C156" s="190">
        <v>0</v>
      </c>
      <c r="D156" s="190">
        <v>0</v>
      </c>
      <c r="E156" s="190">
        <v>0</v>
      </c>
      <c r="F156" s="190">
        <v>56628</v>
      </c>
      <c r="G156" s="190">
        <v>0</v>
      </c>
      <c r="H156" s="190">
        <v>0</v>
      </c>
      <c r="I156" s="190">
        <v>0</v>
      </c>
      <c r="J156" s="190">
        <v>0</v>
      </c>
      <c r="K156" s="190">
        <v>0</v>
      </c>
      <c r="L156" s="191">
        <v>0</v>
      </c>
      <c r="M156" s="190">
        <v>0</v>
      </c>
      <c r="N156" s="190">
        <v>0</v>
      </c>
      <c r="O156" s="190">
        <v>0</v>
      </c>
      <c r="P156" s="190">
        <v>0</v>
      </c>
      <c r="Q156" s="190">
        <v>0</v>
      </c>
      <c r="R156" s="190">
        <v>0</v>
      </c>
      <c r="S156" s="190">
        <v>0</v>
      </c>
      <c r="T156" s="190">
        <v>0</v>
      </c>
      <c r="U156" s="192">
        <v>56628</v>
      </c>
    </row>
    <row r="157" spans="1:21" ht="37.5">
      <c r="A157" s="134" t="s">
        <v>195</v>
      </c>
      <c r="B157" s="190">
        <v>0</v>
      </c>
      <c r="C157" s="190">
        <v>468482000</v>
      </c>
      <c r="D157" s="190">
        <v>0</v>
      </c>
      <c r="E157" s="190">
        <v>0</v>
      </c>
      <c r="F157" s="190">
        <v>0</v>
      </c>
      <c r="G157" s="190">
        <v>0</v>
      </c>
      <c r="H157" s="190">
        <v>0</v>
      </c>
      <c r="I157" s="190">
        <v>0</v>
      </c>
      <c r="J157" s="190">
        <v>0</v>
      </c>
      <c r="K157" s="190">
        <v>0</v>
      </c>
      <c r="L157" s="191">
        <v>0</v>
      </c>
      <c r="M157" s="190">
        <v>0</v>
      </c>
      <c r="N157" s="190">
        <v>0</v>
      </c>
      <c r="O157" s="190">
        <v>0</v>
      </c>
      <c r="P157" s="190">
        <v>0</v>
      </c>
      <c r="Q157" s="190">
        <v>0</v>
      </c>
      <c r="R157" s="190">
        <v>0</v>
      </c>
      <c r="S157" s="190">
        <v>0</v>
      </c>
      <c r="T157" s="190">
        <v>0</v>
      </c>
      <c r="U157" s="192">
        <v>468482000</v>
      </c>
    </row>
    <row r="158" spans="1:21" ht="37.5">
      <c r="A158" s="181" t="s">
        <v>34</v>
      </c>
      <c r="B158" s="196">
        <f t="shared" ref="B158:L158" si="4">SUM(B82:B157)</f>
        <v>24537858943</v>
      </c>
      <c r="C158" s="192">
        <f t="shared" si="4"/>
        <v>10750439874</v>
      </c>
      <c r="D158" s="192">
        <f t="shared" si="4"/>
        <v>9989233861</v>
      </c>
      <c r="E158" s="192">
        <f t="shared" si="4"/>
        <v>7593472459</v>
      </c>
      <c r="F158" s="192">
        <f t="shared" si="4"/>
        <v>8024576785</v>
      </c>
      <c r="G158" s="192">
        <f t="shared" si="4"/>
        <v>9746011565</v>
      </c>
      <c r="H158" s="192">
        <f t="shared" si="4"/>
        <v>10727266948</v>
      </c>
      <c r="I158" s="192">
        <f t="shared" si="4"/>
        <v>5196094490</v>
      </c>
      <c r="J158" s="192">
        <f t="shared" si="4"/>
        <v>4519229064</v>
      </c>
      <c r="K158" s="192">
        <f t="shared" si="4"/>
        <v>2982408934</v>
      </c>
      <c r="L158" s="197">
        <f t="shared" si="4"/>
        <v>3130904503</v>
      </c>
      <c r="M158" s="192">
        <f t="shared" ref="M158:T158" si="5">SUM(M82:M157)</f>
        <v>646938643</v>
      </c>
      <c r="N158" s="192">
        <f t="shared" si="5"/>
        <v>876559351</v>
      </c>
      <c r="O158" s="192">
        <f t="shared" si="5"/>
        <v>182700000</v>
      </c>
      <c r="P158" s="198">
        <f t="shared" si="5"/>
        <v>278334439</v>
      </c>
      <c r="Q158" s="199">
        <f t="shared" si="5"/>
        <v>122042588</v>
      </c>
      <c r="R158" s="192">
        <f t="shared" si="5"/>
        <v>101276486</v>
      </c>
      <c r="S158" s="192">
        <f t="shared" si="5"/>
        <v>126070011</v>
      </c>
      <c r="T158" s="192">
        <f t="shared" si="5"/>
        <v>65385782918</v>
      </c>
      <c r="U158" s="192">
        <f>SUM(B158:T158)</f>
        <v>164917201862</v>
      </c>
    </row>
    <row r="160" spans="1:21" s="9" customFormat="1" ht="45" customHeight="1">
      <c r="A160" s="399" t="s">
        <v>54</v>
      </c>
      <c r="B160" s="399"/>
      <c r="C160" s="399"/>
    </row>
  </sheetData>
  <mergeCells count="5">
    <mergeCell ref="A2:B2"/>
    <mergeCell ref="C2:G2"/>
    <mergeCell ref="A1:G1"/>
    <mergeCell ref="A160:C160"/>
    <mergeCell ref="A79:F7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40"/>
  <sheetViews>
    <sheetView rightToLeft="1" workbookViewId="0">
      <selection activeCell="A29" sqref="A29:XFD29"/>
    </sheetView>
  </sheetViews>
  <sheetFormatPr defaultColWidth="9.140625" defaultRowHeight="15.75"/>
  <cols>
    <col min="1" max="1" width="37.85546875" style="2" customWidth="1"/>
    <col min="2" max="2" width="20.140625" style="2" customWidth="1"/>
    <col min="3" max="3" width="19.85546875" style="2" customWidth="1"/>
    <col min="4" max="4" width="16.42578125" style="2" customWidth="1"/>
    <col min="5" max="5" width="35.7109375" style="2" customWidth="1"/>
    <col min="6" max="6" width="45.42578125" style="2" customWidth="1"/>
    <col min="7" max="7" width="41.5703125" style="2" customWidth="1"/>
    <col min="8" max="8" width="36.85546875" style="2" customWidth="1"/>
    <col min="9" max="9" width="23.28515625" style="2" customWidth="1"/>
    <col min="10" max="10" width="25.140625" style="2" customWidth="1"/>
    <col min="11" max="11" width="12.85546875" style="2" customWidth="1"/>
    <col min="12" max="16384" width="9.140625" style="2"/>
  </cols>
  <sheetData>
    <row r="1" spans="1:20" s="135" customFormat="1" ht="42.75" customHeight="1">
      <c r="A1" s="412" t="s">
        <v>249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T1" s="136"/>
    </row>
    <row r="3" spans="1:20" ht="32.25" thickBot="1">
      <c r="A3" s="8" t="s">
        <v>32</v>
      </c>
      <c r="B3" s="8" t="s">
        <v>250</v>
      </c>
    </row>
    <row r="4" spans="1:20" ht="32.25" thickBot="1">
      <c r="A4" s="137" t="s">
        <v>20</v>
      </c>
      <c r="B4" s="138">
        <v>59</v>
      </c>
    </row>
    <row r="5" spans="1:20" ht="32.25" thickBot="1">
      <c r="A5" s="137" t="s">
        <v>21</v>
      </c>
      <c r="B5" s="138">
        <v>48</v>
      </c>
    </row>
    <row r="6" spans="1:20" ht="32.25" thickBot="1">
      <c r="A6" s="137" t="s">
        <v>22</v>
      </c>
      <c r="B6" s="138">
        <v>23</v>
      </c>
    </row>
    <row r="7" spans="1:20" ht="32.25" thickBot="1">
      <c r="A7" s="137" t="s">
        <v>23</v>
      </c>
      <c r="B7" s="138">
        <v>97</v>
      </c>
    </row>
    <row r="8" spans="1:20" ht="32.25" thickBot="1">
      <c r="A8" s="137" t="s">
        <v>24</v>
      </c>
      <c r="B8" s="138">
        <v>50</v>
      </c>
    </row>
    <row r="9" spans="1:20" ht="32.25" thickBot="1">
      <c r="A9" s="137" t="s">
        <v>25</v>
      </c>
      <c r="B9" s="138">
        <v>80</v>
      </c>
    </row>
    <row r="10" spans="1:20" ht="32.25" thickBot="1">
      <c r="A10" s="137" t="s">
        <v>26</v>
      </c>
      <c r="B10" s="139">
        <v>61</v>
      </c>
    </row>
    <row r="11" spans="1:20" ht="32.25" thickBot="1">
      <c r="A11" s="137" t="s">
        <v>27</v>
      </c>
      <c r="B11" s="139">
        <v>74</v>
      </c>
    </row>
    <row r="12" spans="1:20" ht="32.25" thickBot="1">
      <c r="A12" s="137" t="s">
        <v>40</v>
      </c>
      <c r="B12" s="139">
        <v>32</v>
      </c>
    </row>
    <row r="13" spans="1:20" ht="32.25" thickBot="1">
      <c r="A13" s="137" t="s">
        <v>29</v>
      </c>
      <c r="B13" s="139">
        <v>63</v>
      </c>
    </row>
    <row r="14" spans="1:20" ht="32.25" thickBot="1">
      <c r="A14" s="137" t="s">
        <v>30</v>
      </c>
      <c r="B14" s="139">
        <v>46</v>
      </c>
    </row>
    <row r="15" spans="1:20" ht="32.25" thickBot="1">
      <c r="A15" s="137" t="s">
        <v>31</v>
      </c>
      <c r="B15" s="139">
        <v>63</v>
      </c>
    </row>
    <row r="16" spans="1:20" ht="31.5">
      <c r="A16" s="140" t="s">
        <v>34</v>
      </c>
      <c r="B16" s="92">
        <f>SUM(B4:B15)</f>
        <v>696</v>
      </c>
    </row>
    <row r="18" spans="1:23" s="141" customFormat="1" ht="48.75" customHeight="1">
      <c r="A18" s="388" t="s">
        <v>251</v>
      </c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S18" s="142"/>
      <c r="T18" s="142"/>
      <c r="U18" s="142"/>
      <c r="V18" s="142"/>
      <c r="W18" s="142"/>
    </row>
    <row r="19" spans="1:23" s="141" customFormat="1" ht="25.5" thickBot="1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S19" s="142"/>
      <c r="T19" s="142"/>
      <c r="U19" s="142"/>
      <c r="V19" s="142"/>
      <c r="W19" s="142"/>
    </row>
    <row r="20" spans="1:23" s="144" customFormat="1" ht="62.25" customHeight="1">
      <c r="A20" s="413" t="s">
        <v>252</v>
      </c>
      <c r="B20" s="415" t="s">
        <v>253</v>
      </c>
      <c r="C20" s="415"/>
      <c r="D20" s="415" t="s">
        <v>254</v>
      </c>
      <c r="E20" s="415" t="s">
        <v>255</v>
      </c>
      <c r="F20" s="415" t="s">
        <v>256</v>
      </c>
      <c r="G20" s="415" t="s">
        <v>257</v>
      </c>
      <c r="H20" s="415" t="s">
        <v>258</v>
      </c>
      <c r="I20" s="415" t="s">
        <v>259</v>
      </c>
      <c r="J20" s="415"/>
      <c r="K20" s="415" t="s">
        <v>34</v>
      </c>
    </row>
    <row r="21" spans="1:23" s="144" customFormat="1" ht="50.25" thickBot="1">
      <c r="A21" s="414"/>
      <c r="B21" s="145" t="s">
        <v>260</v>
      </c>
      <c r="C21" s="145" t="s">
        <v>261</v>
      </c>
      <c r="D21" s="415"/>
      <c r="E21" s="415"/>
      <c r="F21" s="415"/>
      <c r="G21" s="415"/>
      <c r="H21" s="415"/>
      <c r="I21" s="145" t="s">
        <v>260</v>
      </c>
      <c r="J21" s="145" t="s">
        <v>261</v>
      </c>
      <c r="K21" s="415"/>
    </row>
    <row r="22" spans="1:23" s="144" customFormat="1" ht="25.5" thickBot="1">
      <c r="A22" s="146">
        <v>1</v>
      </c>
      <c r="B22" s="147" t="s">
        <v>107</v>
      </c>
      <c r="C22" s="147">
        <v>1</v>
      </c>
      <c r="D22" s="147">
        <v>2</v>
      </c>
      <c r="E22" s="147" t="s">
        <v>107</v>
      </c>
      <c r="F22" s="147">
        <v>1</v>
      </c>
      <c r="G22" s="147" t="s">
        <v>107</v>
      </c>
      <c r="H22" s="147" t="s">
        <v>107</v>
      </c>
      <c r="I22" s="147" t="s">
        <v>107</v>
      </c>
      <c r="J22" s="147" t="s">
        <v>107</v>
      </c>
      <c r="K22" s="148">
        <v>4</v>
      </c>
    </row>
    <row r="23" spans="1:23" s="144" customFormat="1" ht="25.5" thickBot="1">
      <c r="A23" s="149">
        <v>2</v>
      </c>
      <c r="B23" s="147">
        <v>6</v>
      </c>
      <c r="C23" s="147">
        <v>16</v>
      </c>
      <c r="D23" s="147">
        <v>16</v>
      </c>
      <c r="E23" s="147" t="s">
        <v>107</v>
      </c>
      <c r="F23" s="147">
        <v>8</v>
      </c>
      <c r="G23" s="147">
        <v>4</v>
      </c>
      <c r="H23" s="147">
        <v>2</v>
      </c>
      <c r="I23" s="147">
        <v>1</v>
      </c>
      <c r="J23" s="147">
        <v>2</v>
      </c>
      <c r="K23" s="148">
        <v>55</v>
      </c>
    </row>
    <row r="24" spans="1:23" s="144" customFormat="1" ht="25.5" thickBot="1">
      <c r="A24" s="149">
        <v>3</v>
      </c>
      <c r="B24" s="147">
        <v>27</v>
      </c>
      <c r="C24" s="147">
        <v>56</v>
      </c>
      <c r="D24" s="147">
        <v>43</v>
      </c>
      <c r="E24" s="147">
        <v>4</v>
      </c>
      <c r="F24" s="147">
        <v>14</v>
      </c>
      <c r="G24" s="147">
        <v>6</v>
      </c>
      <c r="H24" s="147">
        <v>6</v>
      </c>
      <c r="I24" s="147">
        <v>1</v>
      </c>
      <c r="J24" s="147">
        <v>3</v>
      </c>
      <c r="K24" s="148">
        <v>160</v>
      </c>
    </row>
    <row r="25" spans="1:23" s="144" customFormat="1" ht="25.5" thickBot="1">
      <c r="A25" s="149">
        <v>4</v>
      </c>
      <c r="B25" s="147">
        <v>6</v>
      </c>
      <c r="C25" s="147">
        <v>18</v>
      </c>
      <c r="D25" s="147">
        <v>15</v>
      </c>
      <c r="E25" s="147">
        <v>48</v>
      </c>
      <c r="F25" s="147">
        <v>12</v>
      </c>
      <c r="G25" s="147">
        <v>12</v>
      </c>
      <c r="H25" s="147">
        <v>7</v>
      </c>
      <c r="I25" s="147" t="s">
        <v>107</v>
      </c>
      <c r="J25" s="147">
        <v>5</v>
      </c>
      <c r="K25" s="148">
        <v>123</v>
      </c>
    </row>
    <row r="26" spans="1:23" s="144" customFormat="1" ht="25.5" thickBot="1">
      <c r="A26" s="150">
        <v>5</v>
      </c>
      <c r="B26" s="147">
        <v>2</v>
      </c>
      <c r="C26" s="147">
        <v>3</v>
      </c>
      <c r="D26" s="147">
        <v>2</v>
      </c>
      <c r="E26" s="147">
        <v>3</v>
      </c>
      <c r="F26" s="147">
        <v>2</v>
      </c>
      <c r="G26" s="147">
        <v>2</v>
      </c>
      <c r="H26" s="147">
        <v>1</v>
      </c>
      <c r="I26" s="147" t="s">
        <v>107</v>
      </c>
      <c r="J26" s="147" t="s">
        <v>107</v>
      </c>
      <c r="K26" s="148">
        <v>15</v>
      </c>
    </row>
    <row r="27" spans="1:23" s="144" customFormat="1" ht="50.25" thickBot="1">
      <c r="A27" s="151" t="s">
        <v>34</v>
      </c>
      <c r="B27" s="152">
        <v>41</v>
      </c>
      <c r="C27" s="152">
        <v>94</v>
      </c>
      <c r="D27" s="152">
        <v>78</v>
      </c>
      <c r="E27" s="152">
        <v>55</v>
      </c>
      <c r="F27" s="152">
        <v>37</v>
      </c>
      <c r="G27" s="152">
        <v>24</v>
      </c>
      <c r="H27" s="152">
        <v>16</v>
      </c>
      <c r="I27" s="152">
        <v>2</v>
      </c>
      <c r="J27" s="152">
        <v>10</v>
      </c>
      <c r="K27" s="148">
        <v>357</v>
      </c>
      <c r="Q27" s="153"/>
    </row>
    <row r="29" spans="1:23" ht="36.75" customHeight="1">
      <c r="A29" s="388" t="s">
        <v>262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</row>
    <row r="30" spans="1:23" ht="16.5" thickBot="1"/>
    <row r="31" spans="1:23" s="154" customFormat="1" ht="45" customHeight="1">
      <c r="A31" s="413" t="s">
        <v>252</v>
      </c>
      <c r="B31" s="415" t="s">
        <v>253</v>
      </c>
      <c r="C31" s="415"/>
      <c r="D31" s="415" t="s">
        <v>254</v>
      </c>
      <c r="E31" s="415" t="s">
        <v>255</v>
      </c>
      <c r="F31" s="415" t="s">
        <v>256</v>
      </c>
      <c r="G31" s="415" t="s">
        <v>257</v>
      </c>
      <c r="H31" s="415" t="s">
        <v>258</v>
      </c>
      <c r="I31" s="415" t="s">
        <v>259</v>
      </c>
      <c r="J31" s="415"/>
      <c r="K31" s="415" t="s">
        <v>34</v>
      </c>
      <c r="Q31" s="155"/>
    </row>
    <row r="32" spans="1:23" s="154" customFormat="1" ht="77.25" customHeight="1" thickBot="1">
      <c r="A32" s="414"/>
      <c r="B32" s="145" t="s">
        <v>260</v>
      </c>
      <c r="C32" s="145" t="s">
        <v>261</v>
      </c>
      <c r="D32" s="415"/>
      <c r="E32" s="415"/>
      <c r="F32" s="415"/>
      <c r="G32" s="416"/>
      <c r="H32" s="416"/>
      <c r="I32" s="174" t="s">
        <v>260</v>
      </c>
      <c r="J32" s="174" t="s">
        <v>261</v>
      </c>
      <c r="K32" s="415"/>
      <c r="Q32" s="155"/>
    </row>
    <row r="33" spans="1:17" s="154" customFormat="1" ht="30.75" thickBot="1">
      <c r="A33" s="146">
        <v>1</v>
      </c>
      <c r="B33" s="200">
        <v>1</v>
      </c>
      <c r="C33" s="200">
        <v>1</v>
      </c>
      <c r="D33" s="200">
        <v>1</v>
      </c>
      <c r="E33" s="200" t="s">
        <v>107</v>
      </c>
      <c r="F33" s="200" t="s">
        <v>107</v>
      </c>
      <c r="G33" s="201" t="s">
        <v>107</v>
      </c>
      <c r="H33" s="201" t="s">
        <v>107</v>
      </c>
      <c r="I33" s="201" t="s">
        <v>107</v>
      </c>
      <c r="J33" s="202" t="s">
        <v>107</v>
      </c>
      <c r="K33" s="203">
        <f>SUM(B33:J33)</f>
        <v>3</v>
      </c>
      <c r="Q33" s="155"/>
    </row>
    <row r="34" spans="1:17" s="154" customFormat="1" ht="30.75" thickBot="1">
      <c r="A34" s="149">
        <v>2</v>
      </c>
      <c r="B34" s="200">
        <v>11</v>
      </c>
      <c r="C34" s="200">
        <v>29</v>
      </c>
      <c r="D34" s="200">
        <v>19</v>
      </c>
      <c r="E34" s="200">
        <v>1</v>
      </c>
      <c r="F34" s="200">
        <v>6</v>
      </c>
      <c r="G34" s="200" t="s">
        <v>107</v>
      </c>
      <c r="H34" s="200">
        <v>3</v>
      </c>
      <c r="I34" s="200">
        <v>1</v>
      </c>
      <c r="J34" s="201">
        <v>2</v>
      </c>
      <c r="K34" s="203">
        <f>SUM(B34:J34)</f>
        <v>72</v>
      </c>
      <c r="Q34" s="155"/>
    </row>
    <row r="35" spans="1:17" s="154" customFormat="1" ht="30.75" thickBot="1">
      <c r="A35" s="149">
        <v>3</v>
      </c>
      <c r="B35" s="200">
        <v>24</v>
      </c>
      <c r="C35" s="200">
        <v>40</v>
      </c>
      <c r="D35" s="200">
        <v>38</v>
      </c>
      <c r="E35" s="200" t="s">
        <v>107</v>
      </c>
      <c r="F35" s="200">
        <v>8</v>
      </c>
      <c r="G35" s="200">
        <v>5</v>
      </c>
      <c r="H35" s="200">
        <v>13</v>
      </c>
      <c r="I35" s="200">
        <v>1</v>
      </c>
      <c r="J35" s="200">
        <v>3</v>
      </c>
      <c r="K35" s="203">
        <f>SUM(B35:J35)</f>
        <v>132</v>
      </c>
      <c r="Q35" s="155"/>
    </row>
    <row r="36" spans="1:17" s="154" customFormat="1" ht="30.75" thickBot="1">
      <c r="A36" s="149">
        <v>4</v>
      </c>
      <c r="B36" s="200">
        <v>6</v>
      </c>
      <c r="C36" s="200">
        <v>15</v>
      </c>
      <c r="D36" s="200">
        <v>8</v>
      </c>
      <c r="E36" s="200">
        <v>49</v>
      </c>
      <c r="F36" s="200">
        <v>9</v>
      </c>
      <c r="G36" s="200">
        <v>3</v>
      </c>
      <c r="H36" s="200">
        <v>4</v>
      </c>
      <c r="I36" s="200" t="s">
        <v>107</v>
      </c>
      <c r="J36" s="200">
        <v>3</v>
      </c>
      <c r="K36" s="203">
        <f>SUM(B36:J36)</f>
        <v>97</v>
      </c>
      <c r="Q36" s="155"/>
    </row>
    <row r="37" spans="1:17" s="154" customFormat="1" ht="30.75" thickBot="1">
      <c r="A37" s="150">
        <v>5</v>
      </c>
      <c r="B37" s="200">
        <v>2</v>
      </c>
      <c r="C37" s="200">
        <v>2</v>
      </c>
      <c r="D37" s="200" t="s">
        <v>107</v>
      </c>
      <c r="E37" s="200">
        <v>26</v>
      </c>
      <c r="F37" s="200">
        <v>3</v>
      </c>
      <c r="G37" s="200" t="s">
        <v>107</v>
      </c>
      <c r="H37" s="200">
        <v>2</v>
      </c>
      <c r="I37" s="200" t="s">
        <v>107</v>
      </c>
      <c r="J37" s="200" t="s">
        <v>107</v>
      </c>
      <c r="K37" s="203">
        <f>SUM(B37:J37)</f>
        <v>35</v>
      </c>
      <c r="Q37" s="155"/>
    </row>
    <row r="38" spans="1:17" s="154" customFormat="1" ht="50.25" thickBot="1">
      <c r="A38" s="151" t="s">
        <v>34</v>
      </c>
      <c r="B38" s="204">
        <f>SUM(B33:B37)</f>
        <v>44</v>
      </c>
      <c r="C38" s="204">
        <f t="shared" ref="C38:J38" si="0">SUM(C33:C37)</f>
        <v>87</v>
      </c>
      <c r="D38" s="204">
        <f t="shared" si="0"/>
        <v>66</v>
      </c>
      <c r="E38" s="204">
        <f t="shared" si="0"/>
        <v>76</v>
      </c>
      <c r="F38" s="204">
        <f t="shared" si="0"/>
        <v>26</v>
      </c>
      <c r="G38" s="204">
        <f t="shared" si="0"/>
        <v>8</v>
      </c>
      <c r="H38" s="204">
        <f t="shared" si="0"/>
        <v>22</v>
      </c>
      <c r="I38" s="204">
        <f t="shared" si="0"/>
        <v>2</v>
      </c>
      <c r="J38" s="204">
        <f t="shared" si="0"/>
        <v>8</v>
      </c>
      <c r="K38" s="205">
        <f>SUM(K33:K37)</f>
        <v>339</v>
      </c>
      <c r="Q38" s="155"/>
    </row>
    <row r="40" spans="1:17" s="9" customFormat="1" ht="45" customHeight="1">
      <c r="A40" s="399" t="s">
        <v>54</v>
      </c>
      <c r="B40" s="399"/>
      <c r="C40" s="399"/>
    </row>
  </sheetData>
  <mergeCells count="22">
    <mergeCell ref="I31:J31"/>
    <mergeCell ref="D31:D32"/>
    <mergeCell ref="E31:E32"/>
    <mergeCell ref="F31:F32"/>
    <mergeCell ref="G31:G32"/>
    <mergeCell ref="H31:H32"/>
    <mergeCell ref="A40:C40"/>
    <mergeCell ref="A1:M1"/>
    <mergeCell ref="A18:K18"/>
    <mergeCell ref="A20:A21"/>
    <mergeCell ref="B20:C20"/>
    <mergeCell ref="D20:D21"/>
    <mergeCell ref="E20:E21"/>
    <mergeCell ref="F20:F21"/>
    <mergeCell ref="G20:G21"/>
    <mergeCell ref="H20:H21"/>
    <mergeCell ref="I20:J20"/>
    <mergeCell ref="K31:K32"/>
    <mergeCell ref="K20:K21"/>
    <mergeCell ref="A29:K29"/>
    <mergeCell ref="A31:A32"/>
    <mergeCell ref="B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الفهرس</vt:lpstr>
      <vt:lpstr>1-2</vt:lpstr>
      <vt:lpstr>3-</vt:lpstr>
      <vt:lpstr>4-5</vt:lpstr>
      <vt:lpstr>6-7</vt:lpstr>
      <vt:lpstr>8-9</vt:lpstr>
      <vt:lpstr>10</vt:lpstr>
      <vt:lpstr>11-12</vt:lpstr>
      <vt:lpstr>13-15</vt:lpstr>
      <vt:lpstr>16-19</vt:lpstr>
      <vt:lpstr>20-21</vt:lpstr>
      <vt:lpstr>22-24</vt:lpstr>
      <vt:lpstr>25-26</vt:lpstr>
      <vt:lpstr>27-28</vt:lpstr>
      <vt:lpstr>29-30</vt:lpstr>
      <vt:lpstr>31-32</vt:lpstr>
      <vt:lpstr>33-34</vt:lpstr>
      <vt:lpstr>35-39</vt:lpstr>
      <vt:lpstr>40-44</vt:lpstr>
      <vt:lpstr>45-47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malzahab</dc:creator>
  <cp:lastModifiedBy>ntannir</cp:lastModifiedBy>
  <cp:lastPrinted>2016-12-20T11:27:15Z</cp:lastPrinted>
  <dcterms:created xsi:type="dcterms:W3CDTF">2016-07-15T04:13:54Z</dcterms:created>
  <dcterms:modified xsi:type="dcterms:W3CDTF">2016-12-20T12:13:46Z</dcterms:modified>
</cp:coreProperties>
</file>